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styles+xml" PartName="/xl/styles.xml"/>
  <Override ContentType="application/vnd.openxmlformats-officedocument.drawing+xml" PartName="/xl/drawings/drawing4.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eetMetadata+xml" PartName="/xl/metadata.xml"/>
  <Override ContentType="application/vnd.ms-excel.rdrichvaluetypes+xml" PartName="/xl/richData/rdRichValueTypes.xml"/>
  <Override ContentType="application/vnd.ms-excel.rdrichvaluestructure+xml" PartName="/xl/richData/rdrichvaluestructure.xml"/>
  <Override ContentType="application/vnd.ms-excel.rdrichvalue+xml" PartName="/xl/richData/rdrichvalue.xml"/>
  <Override ContentType="application/vnd.ms-excel.rdarray+xml" PartName="/xl/richData/rdarray.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Guide" sheetId="1" r:id="rId1"/>
    <sheet name="Inputs" sheetId="2" r:id="rId2"/>
    <sheet name="Log Data" sheetId="3" r:id="rId3"/>
    <sheet name="Well Log" sheetId="4" r:id="rId4"/>
    <sheet name="Calc" sheetId="5" r:id="rId5"/>
  </sheets>
  <definedNames>
    <definedName name="_xlnm.Print_Area" localSheetId="3">'Well Log'!$A$1:$J$127</definedName>
    <definedName name="LD_Base">Calc!$B$7</definedName>
    <definedName name="LD_Dec0">Calc!$B$8</definedName>
    <definedName name="LD_Depth">'Log Data'!$A$5:$A$5004</definedName>
    <definedName name="LD_First">Calc!$B$4</definedName>
    <definedName name="LD_GR">'Log Data'!$C$5:$C$5004</definedName>
    <definedName name="LD_GRB1">Inputs!$B$20</definedName>
    <definedName name="LD_GRB2">Inputs!$B$21</definedName>
    <definedName name="LD_GRB3">Inputs!$B$22</definedName>
    <definedName name="LD_GRB4">Inputs!$B$23</definedName>
    <definedName name="LD_GRClean">Inputs!$B$24</definedName>
    <definedName name="LD_GRMax">Inputs!$B$15</definedName>
    <definedName name="LD_GRMin">Inputs!$B$14</definedName>
    <definedName name="LD_GRShale">Inputs!$B$25</definedName>
    <definedName name="LD_Last">Calc!$B$5</definedName>
    <definedName name="LD_N">Calc!$B$3</definedName>
    <definedName name="LD_Null">Inputs!$B$8</definedName>
    <definedName name="LD_Problems">Inputs!$B$28</definedName>
    <definedName name="LD_RD">'Log Data'!$F$5:$F$5004</definedName>
    <definedName name="LD_RLog0">Calc!$B$9</definedName>
    <definedName name="LD_RM">'Log Data'!$E$5:$E$5004</definedName>
    <definedName name="LD_RMax">Inputs!$B$17</definedName>
    <definedName name="LD_RMin">Inputs!$B$16</definedName>
    <definedName name="LD_RS">'Log Data'!$D$5:$D$5004</definedName>
    <definedName name="LD_RSpan">Calc!$B$10</definedName>
    <definedName name="LD_SP">'Log Data'!$B$5:$B$5004</definedName>
    <definedName name="LD_SPBase">Inputs!$B$11</definedName>
    <definedName name="LD_SPMax">Inputs!$B$13</definedName>
    <definedName name="LD_SPMin">Inputs!$B$12</definedName>
    <definedName name="LD_Step">Inputs!$B$7</definedName>
    <definedName name="LD_Top">Calc!$B$6</definedName>
    <definedName name="LD_WellName">Inputs!$B$5</definedName>
    <definedName name="LD_WinTop">Inputs!$B$6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<sst xmlns="http://schemas.openxmlformats.org/spreadsheetml/2006/main" count="127" uniqueCount="127">
  <si>
    <t>Well-log display — paste the curves, get printable tracks</t>
  </si>
  <si>
    <t>What this is</t>
  </si>
  <si>
    <t>A log display for one vertical well. Paste SP, gamma-ray and shallow, medium and deep resistivity onto the Log Data sheet and the Well Log sheet draws them as tracks against depth: SP, GR, a lithology column from the GR palette, resistivity on a log scale and a computed shale-volume track. No add-in is needed — every formula is plain Excel, the curves are charts, and the depth lines, labels and lithology are cells behind them — and the sheet prints on one page.</t>
  </si>
  <si>
    <t>Using it</t>
  </si>
  <si>
    <t>Log Data — depth in the first column, increasing downward, then SP, GR, RS, RM and RD. Paste over the example from A5; any sampling interval works, up to 5,000 rows. A curve you do not have can stay empty.</t>
  </si>
  <si>
    <t>Inputs — the window (which depth to start at, and how many feet each row covers) and the scale of each track. Blue cells on a yellow background are the ones to change.</t>
  </si>
  <si>
    <t>Well Log — the display. The scale under each track title is the one on Inputs; the legend on the right names every colour.</t>
  </si>
  <si>
    <t>Checks — at the bottom of Inputs. Depths that run upward, a scale whose left edge is above its right, a window that misses the data and similar are flagged in red with the fix spelled out, and the Well Log says so on its third line.</t>
  </si>
  <si>
    <t>The window</t>
  </si>
  <si>
    <t>The log is always 120 rows tall. The window top (0 means the top of the data) and the depth per row set what it shows: at 1 ft a row it covers 120 ft, at 2.5 ft a row 300 ft. Each row reads the curves at its middle depth, by linear interpolation between the two samples either side, so the sampling of the log and the scale of the display are independent.</t>
  </si>
  <si>
    <t>Why the scales follow the inputs</t>
  </si>
  <si>
    <t>A chart's axis limits are numbers inside the chart, not cells, so a chart cannot follow a scale typed in a cell. Here every track plots a share of its width, from 0 at the left edge to 1 at the right, computed on the Calc sheet from the scale cells — (GR − left) / (right − left), and for resistivity the same in log space — and the chart axis is fixed at 0 to 1. Change a scale and the curves move. The decade lines of the resistivity track are series too, placed from the same two cells. A reading off the scale runs along the edge of its track.</t>
  </si>
  <si>
    <t>Gaps</t>
  </si>
  <si>
    <t>A sample that is blank, text or an error, equals the null value on Inputs (LAS files use −999.25), or — for resistivity — is not above zero is a gap: the curve stops there and starts again at the next good sample, and a row between a good sample and a gap is a gap too.</t>
  </si>
  <si>
    <t>What it does not do</t>
  </si>
  <si>
    <t>It does not read a LAS file — paste the curves — and it draws one well, with no image logs. The curves are fixed at SP, GR and three resistivities. Shale volume is the linear gamma-ray index; porosity, saturation and the nonlinear shale corrections belong to petrophysics functions this workbook does not carry. Vertical wells only: depths are measured depth.</t>
  </si>
  <si>
    <t>Inputs</t>
  </si>
  <si>
    <t>Blue cells on a yellow background drive the display. Field units, vertical well. The curves themselves are pasted on the Log Data sheet; here are the window that says which part of them to show, and the scale of each track. Change a scale and the curves, their grid lines and the headers under each track title follow. The checks at the bottom flag a set of inputs that cannot draw a log.</t>
  </si>
  <si>
    <t>Well and depth window</t>
  </si>
  <si>
    <t>Well name</t>
  </si>
  <si>
    <t>Example well A-12</t>
  </si>
  <si>
    <t>Window top (0 = top of the data)</t>
  </si>
  <si>
    <t>ft</t>
  </si>
  <si>
    <t>The log is 120 rows tall. Depth per row sets how much it shows: 1 ft a row is 120 ft, 5 ft a row is 600 ft.</t>
  </si>
  <si>
    <t>Depth per row</t>
  </si>
  <si>
    <t>Null value (a sample equal to it is a gap)</t>
  </si>
  <si>
    <t/>
  </si>
  <si>
    <t>Track scales</t>
  </si>
  <si>
    <t>SP shale baseline</t>
  </si>
  <si>
    <t>mV</t>
  </si>
  <si>
    <t>SP bars grow left (sand) or right (shale) from the baseline.</t>
  </si>
  <si>
    <t>SP scale, left edge</t>
  </si>
  <si>
    <t>SP scale, right edge</t>
  </si>
  <si>
    <t>GR scale, left edge</t>
  </si>
  <si>
    <t>API</t>
  </si>
  <si>
    <t>GR scale, right edge</t>
  </si>
  <si>
    <t>Resistivity scale, left edge</t>
  </si>
  <si>
    <t>ohm·m</t>
  </si>
  <si>
    <t>Logarithmic, at most six decades apart; the decade lines follow the two edges.</t>
  </si>
  <si>
    <t>Resistivity scale, right edge</t>
  </si>
  <si>
    <t>GR palette and shale volume</t>
  </si>
  <si>
    <t>Palette edge: clean sand | sand</t>
  </si>
  <si>
    <t>The palette colours the GR track and the lithology column.</t>
  </si>
  <si>
    <t>Palette edge: sand | shaly sand</t>
  </si>
  <si>
    <t>Palette edge: shaly sand | sandy shale</t>
  </si>
  <si>
    <t>Palette edge: sandy shale | shale</t>
  </si>
  <si>
    <t>GR in clean sand (Vsh = 0)</t>
  </si>
  <si>
    <t>Linear gamma-ray index: Vsh = (GR − clean) / (shale − clean), kept between 0 and 1.</t>
  </si>
  <si>
    <t>GR in shale (Vsh = 1)</t>
  </si>
  <si>
    <t>Input checks</t>
  </si>
  <si>
    <t>Checks failing</t>
  </si>
  <si>
    <t>Check</t>
  </si>
  <si>
    <t>Status</t>
  </si>
  <si>
    <t>What to fix</t>
  </si>
  <si>
    <t>Depth column holds only numbers</t>
  </si>
  <si>
    <t>Depth samples form one block from the first row</t>
  </si>
  <si>
    <t>There are at least two depth samples</t>
  </si>
  <si>
    <t>Depths increase down the sheet</t>
  </si>
  <si>
    <t>Every pasted row fits the sheet</t>
  </si>
  <si>
    <t>The window overlaps the data</t>
  </si>
  <si>
    <t>Depth per row is positive</t>
  </si>
  <si>
    <t>SP scale increases and holds the shale baseline</t>
  </si>
  <si>
    <t>GR scale increases</t>
  </si>
  <si>
    <t>Resistivity scale is positive, increasing and within six decades</t>
  </si>
  <si>
    <t>GR palette edges increase</t>
  </si>
  <si>
    <t>Clean-sand GR is below shale GR</t>
  </si>
  <si>
    <t>Log Data — paste the curves here</t>
  </si>
  <si>
    <t>Depth in the first column, increasing downward, then SP, GR and the shallow, medium and deep resistivity — any sampling interval, up to 5,000 rows. Paste over the example (a synthetic sand–shale sequence at 0.5 ft) from A5 and the Well Log follows. A sample that is blank, text or an error, or equal to the null value on the Inputs sheet (LAS files use −999.25), leaves a gap in that curve.</t>
  </si>
  <si>
    <t>Curves</t>
  </si>
  <si>
    <t>Depth (ft)</t>
  </si>
  <si>
    <t>SP (mV)</t>
  </si>
  <si>
    <t>GR (API)</t>
  </si>
  <si>
    <t>RS (ohm·m)</t>
  </si>
  <si>
    <t>RM (ohm·m)</t>
  </si>
  <si>
    <t>RD (ohm·m)</t>
  </si>
  <si>
    <t>Notes</t>
  </si>
  <si>
    <t>Only these six columns are read. Put anything else — a header block, a comment — to the right of column H.</t>
  </si>
  <si>
    <t>A curve you do not have can stay empty: its track is blank and the others are unaffected.</t>
  </si>
  <si>
    <t>Resistivity must be above zero; a zero or negative sample is a gap, not a reading.</t>
  </si>
  <si>
    <t>Lith.</t>
  </si>
  <si>
    <t>Resistivity (ohm·m, log)</t>
  </si>
  <si>
    <t>Vsh (v/v)</t>
  </si>
  <si>
    <t>Legend</t>
  </si>
  <si>
    <t>SP, toward sand (left of the baseline)</t>
  </si>
  <si>
    <t>SP, toward shale (right of the baseline)</t>
  </si>
  <si>
    <t>– – –</t>
  </si>
  <si>
    <t>Shallow resistivity (RS)</t>
  </si>
  <si>
    <t>· · · ·</t>
  </si>
  <si>
    <t>Medium resistivity (RM)</t>
  </si>
  <si>
    <t>━━━━</t>
  </si>
  <si>
    <t>Deep resistivity (RD)</t>
  </si>
  <si>
    <t>Vsh, from the gamma-ray index</t>
  </si>
  <si>
    <t>Calc — helpers for the Well Log sheet</t>
  </si>
  <si>
    <t>Nothing here needs editing. The Well Log draws from this sheet; every chart series is the share of its track the scale cells give it.</t>
  </si>
  <si>
    <t>Samples in Log Data</t>
  </si>
  <si>
    <t>First depth (ft)</t>
  </si>
  <si>
    <t>Last depth (ft)</t>
  </si>
  <si>
    <t>Window top (ft)</t>
  </si>
  <si>
    <t>Window base (ft)</t>
  </si>
  <si>
    <t>Decade of the resistivity left edge</t>
  </si>
  <si>
    <t>log10 of the resistivity left edge</t>
  </si>
  <si>
    <t>Resistivity scale, decades</t>
  </si>
  <si>
    <t>Track row</t>
  </si>
  <si>
    <t>Curves on the track rows</t>
  </si>
  <si>
    <t>Chart series (0–1 of the track)</t>
  </si>
  <si>
    <t>Decade lines of the resistivity track</t>
  </si>
  <si>
    <t>Row</t>
  </si>
  <si>
    <t>Depth sampled (ft)</t>
  </si>
  <si>
    <t>Sample at or above</t>
  </si>
  <si>
    <t>Fraction to the next sample</t>
  </si>
  <si>
    <t>SP offset (hidden bar)</t>
  </si>
  <si>
    <t>SP, sand side</t>
  </si>
  <si>
    <t>SP, shale side</t>
  </si>
  <si>
    <t>GR on the scale</t>
  </si>
  <si>
    <t>GR palette band (0–4)</t>
  </si>
  <si>
    <t>GR, clean sand</t>
  </si>
  <si>
    <t>GR, sand</t>
  </si>
  <si>
    <t>GR, shaly sand</t>
  </si>
  <si>
    <t>GR, sandy shale</t>
  </si>
  <si>
    <t>GR, shale</t>
  </si>
  <si>
    <t>RS (ohm·m), log scale</t>
  </si>
  <si>
    <t>RM (ohm·m), log scale</t>
  </si>
  <si>
    <t>RD (ohm·m), log scale</t>
  </si>
  <si>
    <t>Decade lines, x</t>
  </si>
  <si>
    <t>Decade lines, y</t>
  </si>
  <si>
    <t>Lines at 2–9×, x</t>
  </si>
  <si>
    <t>Lines at 2–9×, y</t>
  </si>
</sst>
</file>

<file path=xl/styles.xml><?xml version="1.0" encoding="utf-8"?>
<styleSheet xmlns="http://schemas.openxmlformats.org/spreadsheetml/2006/main">
  <numFmts count="5">
    <numFmt numFmtId="164" formatCode="0.0##"/>
    <numFmt numFmtId="165" formatCode="#,##0.##"/>
    <numFmt numFmtId="166" formatCode="#,##0.0##"/>
    <numFmt numFmtId="167" formatCode="0.000"/>
    <numFmt numFmtId="168" formatCode=";;;"/>
  </numFmts>
  <fonts count="14">
    <font>
      <sz val="11"/>
      <name val="Aptos Narrow"/>
    </font>
    <font>
      <b/>
      <sz val="11"/>
      <name val="Aptos Narrow"/>
    </font>
    <font>
      <b/>
      <sz val="14"/>
      <name val="Aptos Narrow"/>
    </font>
    <font>
      <b/>
      <sz val="11"/>
      <color rgb="FF1F3A5F"/>
      <name val="Aptos Narrow"/>
    </font>
    <font>
      <i/>
      <sz val="11"/>
      <color rgb="FF555555"/>
      <name val="Aptos Narrow"/>
    </font>
    <font>
      <sz val="11"/>
      <color rgb="FF1F4EB4"/>
      <name val="Aptos Narrow"/>
    </font>
    <font>
      <b/>
      <sz val="13"/>
      <name val="Aptos Narrow"/>
    </font>
    <font>
      <sz val="11"/>
      <color rgb="FF555555"/>
      <name val="Aptos Narrow"/>
    </font>
    <font>
      <b/>
      <sz val="8"/>
      <name val="Aptos Narrow"/>
    </font>
    <font>
      <sz val="7"/>
      <name val="Aptos Narrow"/>
    </font>
    <font>
      <sz val="8"/>
      <name val="Aptos Narrow"/>
    </font>
    <font>
      <b/>
      <sz val="7"/>
      <color rgb="FF5B9BD5"/>
      <name val="Aptos Narrow"/>
    </font>
    <font>
      <b/>
      <sz val="7"/>
      <color rgb="FFED7D31"/>
      <name val="Aptos Narrow"/>
    </font>
    <font>
      <b/>
      <sz val="7"/>
      <color rgb="FFC00000"/>
      <name val="Aptos Narrow"/>
    </font>
  </fonts>
  <fills count="12">
    <fill>
      <patternFill patternType="none"/>
    </fill>
    <fill>
      <patternFill patternType="gray125"/>
    </fill>
    <fill>
      <patternFill patternType="solid">
        <fgColor rgb="FFE8EEF4"/>
      </patternFill>
    </fill>
    <fill>
      <patternFill patternType="solid">
        <fgColor rgb="FFFFF2CC"/>
      </patternFill>
    </fill>
    <fill>
      <patternFill patternType="solid">
        <fgColor rgb="FFFFD966"/>
      </patternFill>
    </fill>
    <fill>
      <patternFill patternType="solid">
        <fgColor rgb="FFA6A6A6"/>
      </patternFill>
    </fill>
    <fill>
      <patternFill patternType="gray125">
        <fgColor rgb="FFFFE699"/>
        <bgColor rgb="FFBF9000"/>
      </patternFill>
    </fill>
    <fill>
      <patternFill patternType="gray0625">
        <fgColor rgb="FFFFD966"/>
        <bgColor rgb="FFBF9000"/>
      </patternFill>
    </fill>
    <fill>
      <patternFill patternType="lightDown">
        <fgColor rgb="FFD9C27A"/>
        <bgColor rgb="FF7F6000"/>
      </patternFill>
    </fill>
    <fill>
      <patternFill patternType="lightHorizontal">
        <fgColor rgb="FFA9B98A"/>
        <bgColor rgb="FF4E6B3A"/>
      </patternFill>
    </fill>
    <fill>
      <patternFill patternType="darkHorizontal">
        <fgColor rgb="FF7F9A6C"/>
        <bgColor rgb="FF3A5230"/>
      </patternFill>
    </fill>
    <fill>
      <patternFill patternType="solid">
        <fgColor rgb="FFA8794F"/>
      </patternFill>
    </fill>
  </fills>
  <borders count="5">
    <border>
      <left/>
      <right/>
      <top/>
      <bottom/>
      <diagonal/>
    </border>
    <border>
      <left/>
      <right/>
      <top/>
      <bottom style="thin"/>
      <diagonal/>
    </border>
    <border>
      <left style="thin">
        <color rgb="FF404040"/>
      </left>
      <right style="thin">
        <color rgb="FF404040"/>
      </right>
      <top/>
      <bottom/>
      <diagonal/>
    </border>
    <border>
      <left style="thin">
        <color rgb="FF404040"/>
      </left>
      <right style="thin">
        <color rgb="FF404040"/>
      </right>
      <top style="thin">
        <color rgb="FF404040"/>
      </top>
      <bottom/>
      <diagonal/>
    </border>
    <border>
      <left style="thin">
        <color rgb="FF404040"/>
      </left>
      <right style="thin">
        <color rgb="FF404040"/>
      </right>
      <top/>
      <bottom style="thin">
        <color rgb="FF404040"/>
      </bottom>
      <diagonal/>
    </border>
  </borders>
  <cellStyleXfs count="1">
    <xf numFmtId="0" fontId="0"/>
  </cellStyleXfs>
  <cellXfs count="44">
    <xf numFmtId="0" fontId="0" xfId="0"/>
    <xf numFmtId="0" fontId="1" applyFont="1"/>
    <xf numFmtId="0" fontId="2" applyFont="1"/>
    <xf numFmtId="0" fontId="3" applyFont="1"/>
    <xf numFmtId="0" fontId="0" applyAlignment="1">
      <alignment vertical="top" wrapText="1"/>
    </xf>
    <xf numFmtId="0" fontId="4" applyFont="1" applyAlignment="1">
      <alignment wrapText="1"/>
    </xf>
    <xf numFmtId="0" fontId="3" applyFont="1" fillId="2" applyFill="1"/>
    <xf numFmtId="0" fontId="5" applyFont="1" fillId="3" applyFill="1"/>
    <xf numFmtId="3" applyNumberFormat="1" fontId="0"/>
    <xf numFmtId="3" applyNumberFormat="1" fontId="5" applyFont="1" fillId="3" applyFill="1"/>
    <xf numFmtId="164" applyNumberFormat="1" fontId="5" applyFont="1" fillId="3" applyFill="1"/>
    <xf numFmtId="2" applyNumberFormat="1" fontId="5" applyFont="1" fillId="3" applyFill="1"/>
    <xf numFmtId="0" fontId="4" applyFont="1"/>
    <xf numFmtId="0" fontId="4" applyFont="1" applyAlignment="1">
      <alignment vertical="top" wrapText="1"/>
    </xf>
    <xf numFmtId="1" applyNumberFormat="1" fontId="0"/>
    <xf numFmtId="1" applyNumberFormat="1" fontId="5" applyFont="1" fillId="3" applyFill="1"/>
    <xf numFmtId="165" applyNumberFormat="1" fontId="5" applyFont="1" fillId="3" applyFill="1"/>
    <xf numFmtId="0" fontId="0" applyAlignment="1">
      <alignment horizontal="center"/>
    </xf>
    <xf numFmtId="166" applyNumberFormat="1" fontId="0"/>
    <xf numFmtId="167" applyNumberFormat="1" fontId="0"/>
    <xf numFmtId="0" fontId="3" applyFont="1" borderId="1" applyBorder="1"/>
    <xf numFmtId="0" fontId="1" applyFont="1" applyAlignment="1">
      <alignment wrapText="1"/>
    </xf>
    <xf numFmtId="0" fontId="6" applyFont="1"/>
    <xf numFmtId="0" fontId="7" applyFont="1"/>
    <xf numFmtId="0" fontId="8" applyFont="1"/>
    <xf numFmtId="0" fontId="8" applyFont="1" borderId="1" applyBorder="1" applyAlignment="1">
      <alignment horizontal="center" wrapText="1"/>
    </xf>
    <xf numFmtId="0" fontId="9" applyFont="1" applyAlignment="1">
      <alignment horizontal="center"/>
    </xf>
    <xf numFmtId="168" applyNumberFormat="1" fontId="0"/>
    <xf numFmtId="0" fontId="9" applyFont="1" applyAlignment="1">
      <alignment horizontal="right" vertical="top"/>
    </xf>
    <xf numFmtId="0" fontId="0" borderId="2" applyBorder="1"/>
    <xf numFmtId="0" fontId="0" borderId="3" applyBorder="1"/>
    <xf numFmtId="0" fontId="0" borderId="4" applyBorder="1"/>
    <xf numFmtId="0" fontId="0" fillId="4" applyFill="1"/>
    <xf numFmtId="0" fontId="10" applyFont="1" applyAlignment="1">
      <alignment vertical="center"/>
    </xf>
    <xf numFmtId="0" fontId="0" fillId="5" applyFill="1"/>
    <xf numFmtId="0" fontId="0" fillId="6" applyFill="1"/>
    <xf numFmtId="0" fontId="0" fillId="7" applyFill="1"/>
    <xf numFmtId="0" fontId="0" fillId="8" applyFill="1"/>
    <xf numFmtId="0" fontId="0" fillId="9" applyFill="1"/>
    <xf numFmtId="0" fontId="0" fillId="10" applyFill="1"/>
    <xf numFmtId="0" fontId="11" applyFont="1" applyAlignment="1">
      <alignment horizontal="center" vertical="center"/>
    </xf>
    <xf numFmtId="0" fontId="12" applyFont="1" applyAlignment="1">
      <alignment horizontal="center" vertical="center"/>
    </xf>
    <xf numFmtId="0" fontId="13" applyFont="1" applyAlignment="1">
      <alignment horizontal="center" vertical="center"/>
    </xf>
    <xf numFmtId="0" fontId="0" fillId="11" applyFill="1"/>
  </cellXfs>
  <cellStyles count="1">
    <cellStyle name="Normal" xfId="0" builtinId="0"/>
  </cellStyles>
  <dxfs count="10">
    <dxf>
      <font>
        <color rgb="ffc00000"/>
      </font>
      <fill>
        <patternFill patternType="solid">
          <bgColor rgb="ffffe1e1"/>
        </patternFill>
      </fill>
    </dxf>
    <dxf>
      <font>
        <color rgb="ffc00000"/>
      </font>
    </dxf>
    <dxf>
      <font>
        <color rgb="ffc00000"/>
      </font>
      <fill>
        <patternFill patternType="solid">
          <bgColor rgb="ffffe1e1"/>
        </patternFill>
      </fill>
    </dxf>
    <dxf>
      <font>
        <b val="1"/>
        <color rgb="ffc00000"/>
      </font>
      <fill>
        <patternFill patternType="solid">
          <bgColor rgb="ffffe1e1"/>
        </patternFill>
      </fill>
    </dxf>
    <dxf>
      <border>
        <top style="thin">
          <color rgb="ffbfbfbf"/>
        </top>
      </border>
    </dxf>
    <dxf>
      <fill>
        <patternFill patternType="gray125">
          <fgColor rgb="ffbf9000"/>
          <bgColor rgb="ffffe699"/>
        </patternFill>
      </fill>
    </dxf>
    <dxf>
      <fill>
        <patternFill patternType="gray0625">
          <fgColor rgb="ffbf9000"/>
          <bgColor rgb="ffffd966"/>
        </patternFill>
      </fill>
    </dxf>
    <dxf>
      <fill>
        <patternFill patternType="lightDown">
          <fgColor rgb="ff7f6000"/>
          <bgColor rgb="ffd9c27a"/>
        </patternFill>
      </fill>
    </dxf>
    <dxf>
      <fill>
        <patternFill patternType="lightHorizontal">
          <fgColor rgb="ff4e6b3a"/>
          <bgColor rgb="ffa9b98a"/>
        </patternFill>
      </fill>
    </dxf>
    <dxf>
      <fill>
        <patternFill patternType="darkHorizontal">
          <fgColor rgb="ff3a5230"/>
          <bgColor rgb="ff7f9a6c"/>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 Id="rId7" Type="http://schemas.openxmlformats.org/officeDocument/2006/relationships/sheetMetadata" Target="/xl/metadata.xml"/><Relationship Id="rId8" Type="http://schemas.microsoft.com/office/2017/06/relationships/rdRichValueTypes" Target="/xl/richData/rdRichValueTypes.xml"/><Relationship Id="rId9" Type="http://schemas.microsoft.com/office/2017/06/relationships/rdRichValueStructure" Target="/xl/richData/rdrichvaluestructure.xml"/><Relationship Id="rId10" Type="http://schemas.microsoft.com/office/2017/06/relationships/rdRichValue" Target="/xl/richData/rdrichvalue.xml"/><Relationship Id="rId11" Type="http://schemas.microsoft.com/office/2017/06/relationships/rdArray" Target="/xl/richData/rdarray.xml"/><Relationship Id="rId1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plotArea>
      <c:layout>
        <c:manualLayout>
          <c:layoutTarget val="inner"/>
          <c:xMode val="edge"/>
          <c:yMode val="edge"/>
          <c:x val="0"/>
          <c:y val="0"/>
          <c:w val="1"/>
          <c:h val="1"/>
        </c:manualLayout>
      </c:layout>
      <c:barChart>
        <c:barDir val="bar"/>
        <c:grouping val="stacked"/>
        <c:varyColors val="0"/>
        <c:ser>
          <c:idx val="0"/>
          <c:order val="0"/>
          <c:tx>
            <c:v>offset</c:v>
          </c:tx>
          <c:spPr>
            <a:noFill/>
            <a:ln>
              <a:noFill/>
            </a:ln>
            <a:effectLst/>
            <a:sp3d/>
          </c:spPr>
          <c:invertIfNegative val="0"/>
          <c:cat>
            <c:numRef>
              <c:f>Calc!$B$14:$B$133</c:f>
            </c:numRef>
          </c:cat>
          <c:val>
            <c:numRef>
              <c:f>Calc!$K$14:$K$133</c:f>
              <c:numCache/>
            </c:numRef>
          </c:val>
        </c:ser>
        <c:ser>
          <c:idx val="1"/>
          <c:order val="1"/>
          <c:tx>
            <c:v>SP, sand side</c:v>
          </c:tx>
          <c:spPr>
            <a:solidFill>
              <a:srgbClr val="FFD966"/>
            </a:solidFill>
            <a:ln>
              <a:noFill/>
            </a:ln>
            <a:effectLst/>
            <a:sp3d/>
          </c:spPr>
          <c:invertIfNegative val="0"/>
          <c:cat>
            <c:numRef>
              <c:f>Calc!$B$14:$B$133</c:f>
            </c:numRef>
          </c:cat>
          <c:val>
            <c:numRef>
              <c:f>Calc!$L$14:$L$133</c:f>
              <c:numCache/>
            </c:numRef>
          </c:val>
        </c:ser>
        <c:ser>
          <c:idx val="2"/>
          <c:order val="2"/>
          <c:tx>
            <c:v>SP, shale side</c:v>
          </c:tx>
          <c:spPr>
            <a:solidFill>
              <a:srgbClr val="A6A6A6"/>
            </a:solidFill>
            <a:ln>
              <a:noFill/>
            </a:ln>
            <a:effectLst/>
            <a:sp3d/>
          </c:spPr>
          <c:invertIfNegative val="0"/>
          <c:cat>
            <c:numRef>
              <c:f>Calc!$B$14:$B$133</c:f>
            </c:numRef>
          </c:cat>
          <c:val>
            <c:numRef>
              <c:f>Calc!$M$14:$M$133</c:f>
              <c:numCache/>
            </c:numRef>
          </c:val>
        </c:ser>
        <c:gapWidth val="0"/>
        <c:overlap val="100"/>
        <c:axId val="1"/>
        <c:axId val="2"/>
      </c:barChart>
      <c:catAx>
        <c:axId val="1"/>
        <c:scaling>
          <c:orientation val="maxMin"/>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2"/>
        <c:crosses val="autoZero"/>
        <c:auto val="1"/>
        <c:lblAlgn val="ctr"/>
        <c:lblOffset val="100"/>
      </c:catAx>
      <c:valAx>
        <c:axId val="2"/>
        <c:scaling>
          <c:orientation val="minMax"/>
          <c:max val="1"/>
          <c:min val="0"/>
        </c:scaling>
        <c:delete val="0"/>
        <c:axPos val="l"/>
        <c:majorGridlines>
          <c:spPr>
            <a:ln>
              <a:solidFill>
                <a:srgbClr val="D9D9D9"/>
              </a:solidFill>
            </a:ln>
            <a:effectLst/>
            <a:sp3d/>
          </c:spPr>
        </c:majorGridlines>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1"/>
        <c:crosses val="autoZero"/>
        <c:crossBetween val="between"/>
        <c:majorUnit val="0.2"/>
      </c:valAx>
      <c:spPr>
        <a:noFill/>
        <a:ln>
          <a:noFill/>
        </a:ln>
        <a:effectLst/>
        <a:sp3d/>
      </c:spPr>
    </c:plotArea>
    <c:plotVisOnly val="1"/>
  </c:chart>
  <c:spPr>
    <a:noFill/>
    <a:ln>
      <a:noFill/>
    </a:ln>
    <a:effectLst/>
    <a:sp3d/>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plotArea>
      <c:layout>
        <c:manualLayout>
          <c:layoutTarget val="inner"/>
          <c:xMode val="edge"/>
          <c:yMode val="edge"/>
          <c:x val="0"/>
          <c:y val="0"/>
          <c:w val="1"/>
          <c:h val="1"/>
        </c:manualLayout>
      </c:layout>
      <c:barChart>
        <c:barDir val="bar"/>
        <c:grouping val="stacked"/>
        <c:varyColors val="0"/>
        <c:ser>
          <c:idx val="0"/>
          <c:order val="0"/>
          <c:tx>
            <c:v>GR, clean sand</c:v>
          </c:tx>
          <c:spPr>
            <a:solidFill>
              <a:srgbClr val="FFE699"/>
            </a:solidFill>
            <a:ln>
              <a:noFill/>
            </a:ln>
            <a:effectLst/>
            <a:sp3d/>
          </c:spPr>
          <c:invertIfNegative val="0"/>
          <c:cat>
            <c:numRef>
              <c:f>Calc!$B$14:$B$133</c:f>
            </c:numRef>
          </c:cat>
          <c:val>
            <c:numRef>
              <c:f>Calc!$P$14:$P$133</c:f>
              <c:numCache/>
            </c:numRef>
          </c:val>
        </c:ser>
        <c:ser>
          <c:idx val="1"/>
          <c:order val="1"/>
          <c:tx>
            <c:v>GR, sand</c:v>
          </c:tx>
          <c:spPr>
            <a:solidFill>
              <a:srgbClr val="FFD966"/>
            </a:solidFill>
            <a:ln>
              <a:noFill/>
            </a:ln>
            <a:effectLst/>
            <a:sp3d/>
          </c:spPr>
          <c:invertIfNegative val="0"/>
          <c:cat>
            <c:numRef>
              <c:f>Calc!$B$14:$B$133</c:f>
            </c:numRef>
          </c:cat>
          <c:val>
            <c:numRef>
              <c:f>Calc!$Q$14:$Q$133</c:f>
              <c:numCache/>
            </c:numRef>
          </c:val>
        </c:ser>
        <c:ser>
          <c:idx val="2"/>
          <c:order val="2"/>
          <c:tx>
            <c:v>GR, shaly sand</c:v>
          </c:tx>
          <c:spPr>
            <a:solidFill>
              <a:srgbClr val="D9C27A"/>
            </a:solidFill>
            <a:ln>
              <a:noFill/>
            </a:ln>
            <a:effectLst/>
            <a:sp3d/>
          </c:spPr>
          <c:invertIfNegative val="0"/>
          <c:cat>
            <c:numRef>
              <c:f>Calc!$B$14:$B$133</c:f>
            </c:numRef>
          </c:cat>
          <c:val>
            <c:numRef>
              <c:f>Calc!$R$14:$R$133</c:f>
              <c:numCache/>
            </c:numRef>
          </c:val>
        </c:ser>
        <c:ser>
          <c:idx val="3"/>
          <c:order val="3"/>
          <c:tx>
            <c:v>GR, sandy shale</c:v>
          </c:tx>
          <c:spPr>
            <a:solidFill>
              <a:srgbClr val="A9B98A"/>
            </a:solidFill>
            <a:ln>
              <a:noFill/>
            </a:ln>
            <a:effectLst/>
            <a:sp3d/>
          </c:spPr>
          <c:invertIfNegative val="0"/>
          <c:cat>
            <c:numRef>
              <c:f>Calc!$B$14:$B$133</c:f>
            </c:numRef>
          </c:cat>
          <c:val>
            <c:numRef>
              <c:f>Calc!$S$14:$S$133</c:f>
              <c:numCache/>
            </c:numRef>
          </c:val>
        </c:ser>
        <c:ser>
          <c:idx val="4"/>
          <c:order val="4"/>
          <c:tx>
            <c:v>GR, shale</c:v>
          </c:tx>
          <c:spPr>
            <a:solidFill>
              <a:srgbClr val="7F9A6C"/>
            </a:solidFill>
            <a:ln>
              <a:noFill/>
            </a:ln>
            <a:effectLst/>
            <a:sp3d/>
          </c:spPr>
          <c:invertIfNegative val="0"/>
          <c:cat>
            <c:numRef>
              <c:f>Calc!$B$14:$B$133</c:f>
            </c:numRef>
          </c:cat>
          <c:val>
            <c:numRef>
              <c:f>Calc!$T$14:$T$133</c:f>
              <c:numCache/>
            </c:numRef>
          </c:val>
        </c:ser>
        <c:gapWidth val="0"/>
        <c:overlap val="100"/>
        <c:axId val="1"/>
        <c:axId val="2"/>
      </c:barChart>
      <c:catAx>
        <c:axId val="1"/>
        <c:scaling>
          <c:orientation val="maxMin"/>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2"/>
        <c:crosses val="autoZero"/>
        <c:auto val="1"/>
        <c:lblAlgn val="ctr"/>
        <c:lblOffset val="100"/>
      </c:catAx>
      <c:valAx>
        <c:axId val="2"/>
        <c:scaling>
          <c:orientation val="minMax"/>
          <c:max val="1"/>
          <c:min val="0"/>
        </c:scaling>
        <c:delete val="0"/>
        <c:axPos val="l"/>
        <c:majorGridlines>
          <c:spPr>
            <a:ln>
              <a:solidFill>
                <a:srgbClr val="D9D9D9"/>
              </a:solidFill>
            </a:ln>
            <a:effectLst/>
            <a:sp3d/>
          </c:spPr>
        </c:majorGridlines>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1"/>
        <c:crosses val="autoZero"/>
        <c:crossBetween val="between"/>
        <c:majorUnit val="0.2"/>
      </c:valAx>
      <c:spPr>
        <a:noFill/>
        <a:ln>
          <a:noFill/>
        </a:ln>
        <a:effectLst/>
        <a:sp3d/>
      </c:spPr>
    </c:plotArea>
    <c:plotVisOnly val="1"/>
  </c:chart>
  <c:spPr>
    <a:noFill/>
    <a:ln>
      <a:noFill/>
    </a:ln>
    <a:effectLst/>
    <a:sp3d/>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plotArea>
      <c:layout>
        <c:manualLayout>
          <c:layoutTarget val="inner"/>
          <c:xMode val="edge"/>
          <c:yMode val="edge"/>
          <c:x val="0"/>
          <c:y val="0"/>
          <c:w val="1"/>
          <c:h val="1"/>
        </c:manualLayout>
      </c:layout>
      <c:barChart>
        <c:barDir val="bar"/>
        <c:grouping val="clustered"/>
        <c:varyColors val="0"/>
        <c:ser>
          <c:idx val="0"/>
          <c:order val="0"/>
          <c:tx>
            <c:v>Vsh</c:v>
          </c:tx>
          <c:spPr>
            <a:solidFill>
              <a:srgbClr val="A8794F"/>
            </a:solidFill>
            <a:ln>
              <a:noFill/>
            </a:ln>
            <a:effectLst/>
            <a:sp3d/>
          </c:spPr>
          <c:invertIfNegative val="0"/>
          <c:cat>
            <c:numRef>
              <c:f>Calc!$B$14:$B$133</c:f>
            </c:numRef>
          </c:cat>
          <c:val>
            <c:numRef>
              <c:f>Calc!$J$14:$J$133</c:f>
              <c:numCache/>
            </c:numRef>
          </c:val>
        </c:ser>
        <c:gapWidth val="0"/>
        <c:overlap val="100"/>
        <c:axId val="1"/>
        <c:axId val="2"/>
      </c:barChart>
      <c:catAx>
        <c:axId val="1"/>
        <c:scaling>
          <c:orientation val="maxMin"/>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2"/>
        <c:crosses val="autoZero"/>
        <c:auto val="1"/>
        <c:lblAlgn val="ctr"/>
        <c:lblOffset val="100"/>
      </c:catAx>
      <c:valAx>
        <c:axId val="2"/>
        <c:scaling>
          <c:orientation val="minMax"/>
          <c:max val="1"/>
          <c:min val="0"/>
        </c:scaling>
        <c:delete val="0"/>
        <c:axPos val="l"/>
        <c:majorGridlines>
          <c:spPr>
            <a:ln>
              <a:solidFill>
                <a:srgbClr val="D9D9D9"/>
              </a:solidFill>
            </a:ln>
            <a:effectLst/>
            <a:sp3d/>
          </c:spPr>
        </c:majorGridlines>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1"/>
        <c:crosses val="autoZero"/>
        <c:crossBetween val="between"/>
        <c:majorUnit val="0.2"/>
      </c:valAx>
      <c:spPr>
        <a:noFill/>
        <a:ln>
          <a:noFill/>
        </a:ln>
        <a:effectLst/>
        <a:sp3d/>
      </c:spPr>
    </c:plotArea>
    <c:plotVisOnly val="1"/>
  </c:chart>
  <c:spPr>
    <a:noFill/>
    <a:ln>
      <a:noFill/>
    </a:ln>
    <a:effectLst/>
    <a:sp3d/>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plotArea>
      <c:layout>
        <c:manualLayout>
          <c:layoutTarget val="inner"/>
          <c:xMode val="edge"/>
          <c:yMode val="edge"/>
          <c:x val="0"/>
          <c:y val="0"/>
          <c:w val="1"/>
          <c:h val="1"/>
        </c:manualLayout>
      </c:layout>
      <c:scatterChart>
        <c:scatterStyle val="lineMarker"/>
        <c:varyColors val="0"/>
        <c:ser>
          <c:idx val="0"/>
          <c:order val="0"/>
          <c:tx>
            <c:v>Lines at 2–9× a decade</c:v>
          </c:tx>
          <c:spPr>
            <a:ln w="6350">
              <a:solidFill>
                <a:srgbClr val="E7E6E6"/>
              </a:solidFill>
              <a:prstDash val="solid"/>
            </a:ln>
            <a:effectLst/>
            <a:sp3d/>
          </c:spPr>
          <c:marker>
            <c:symbol val="none"/>
          </c:marker>
          <c:xVal>
            <c:numRef>
              <c:f>Calc!$AA$14:$AA$125</c:f>
            </c:numRef>
          </c:xVal>
          <c:yVal>
            <c:numRef>
              <c:f>Calc!$AB$14:$AB$125</c:f>
              <c:numCache/>
            </c:numRef>
          </c:yVal>
          <c:smooth val="0"/>
        </c:ser>
        <c:ser>
          <c:idx val="1"/>
          <c:order val="1"/>
          <c:tx>
            <c:v>Decade lines</c:v>
          </c:tx>
          <c:spPr>
            <a:ln w="9525">
              <a:solidFill>
                <a:srgbClr val="BFBFBF"/>
              </a:solidFill>
              <a:prstDash val="solid"/>
            </a:ln>
            <a:effectLst/>
            <a:sp3d/>
          </c:spPr>
          <c:marker>
            <c:symbol val="none"/>
          </c:marker>
          <c:xVal>
            <c:numRef>
              <c:f>Calc!$Y$14:$Y$27</c:f>
            </c:numRef>
          </c:xVal>
          <c:yVal>
            <c:numRef>
              <c:f>Calc!$Z$14:$Z$27</c:f>
              <c:numCache/>
            </c:numRef>
          </c:yVal>
          <c:smooth val="0"/>
        </c:ser>
        <c:ser>
          <c:idx val="2"/>
          <c:order val="2"/>
          <c:tx>
            <c:v>Shallow resistivity (RS)</c:v>
          </c:tx>
          <c:spPr>
            <a:ln w="15875">
              <a:solidFill>
                <a:srgbClr val="5B9BD5"/>
              </a:solidFill>
              <a:prstDash val="dash"/>
            </a:ln>
            <a:effectLst/>
            <a:sp3d/>
          </c:spPr>
          <c:marker>
            <c:symbol val="none"/>
          </c:marker>
          <c:xVal>
            <c:numRef>
              <c:f>Calc!$U$14:$U$133</c:f>
            </c:numRef>
          </c:xVal>
          <c:yVal>
            <c:numRef>
              <c:f>Calc!$A$14:$A$133</c:f>
              <c:numCache/>
            </c:numRef>
          </c:yVal>
          <c:smooth val="0"/>
        </c:ser>
        <c:ser>
          <c:idx val="3"/>
          <c:order val="3"/>
          <c:tx>
            <c:v>Medium resistivity (RM)</c:v>
          </c:tx>
          <c:spPr>
            <a:ln w="19050">
              <a:solidFill>
                <a:srgbClr val="ED7D31"/>
              </a:solidFill>
              <a:prstDash val="sysDot"/>
            </a:ln>
            <a:effectLst/>
            <a:sp3d/>
          </c:spPr>
          <c:marker>
            <c:symbol val="none"/>
          </c:marker>
          <c:xVal>
            <c:numRef>
              <c:f>Calc!$V$14:$V$133</c:f>
            </c:numRef>
          </c:xVal>
          <c:yVal>
            <c:numRef>
              <c:f>Calc!$A$14:$A$133</c:f>
              <c:numCache/>
            </c:numRef>
          </c:yVal>
          <c:smooth val="0"/>
        </c:ser>
        <c:ser>
          <c:idx val="4"/>
          <c:order val="4"/>
          <c:tx>
            <c:v>Deep resistivity (RD)</c:v>
          </c:tx>
          <c:spPr>
            <a:ln w="25400">
              <a:solidFill>
                <a:srgbClr val="C00000"/>
              </a:solidFill>
              <a:prstDash val="solid"/>
            </a:ln>
            <a:effectLst/>
            <a:sp3d/>
          </c:spPr>
          <c:marker>
            <c:symbol val="none"/>
          </c:marker>
          <c:xVal>
            <c:numRef>
              <c:f>Calc!$W$14:$W$133</c:f>
            </c:numRef>
          </c:xVal>
          <c:yVal>
            <c:numRef>
              <c:f>Calc!$A$14:$A$133</c:f>
              <c:numCache/>
            </c:numRef>
          </c:yVal>
          <c:smooth val="0"/>
        </c:ser>
        <c:axId val="1"/>
        <c:axId val="2"/>
      </c:scatterChart>
      <c:valAx>
        <c:axId val="1"/>
        <c:scaling>
          <c:orientation val="minMax"/>
          <c:max val="1"/>
          <c:min val="0"/>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2"/>
        <c:crosses val="autoZero"/>
      </c:valAx>
      <c:valAx>
        <c:axId val="2"/>
        <c:scaling>
          <c:orientation val="maxMin"/>
          <c:max val="119.5"/>
          <c:min val="-0.5"/>
        </c:scaling>
        <c:delete val="0"/>
        <c:axPos val="l"/>
        <c:title>
          <c:tx>
            <c:rich>
              <a:bodyPr rot="0" spcFirstLastPara="1" vertOverflow="ellipsis" vert="horz" wrap="square" anchor="ctr" anchorCtr="1"/>
              <a:lstStyle/>
              <a:p>
                <a:pPr>
                  <a:defRPr sz="1080" b="1" i="0" u="none" strike="noStrike" kern="1200" baseline="0">
                    <a:effectLst/>
                    <a:latin typeface="+mn-lt"/>
                    <a:ea typeface="+mn-ea"/>
                    <a:cs typeface="+mn-cs"/>
                  </a:defRPr>
                </a:pPr>
                <a:r>
                  <a:t/>
                </a:r>
              </a:p>
            </c:rich>
          </c:tx>
          <c:layout/>
          <c:overlay val="0"/>
          <c:spPr>
            <a:noFill/>
            <a:ln>
              <a:noFill/>
            </a:ln>
            <a:effectLst/>
          </c:spPr>
        </c:title>
        <c:majorTickMark val="none"/>
        <c:minorTickMark val="none"/>
        <c:tickLblPos val="none"/>
        <c:spPr>
          <a:ln>
            <a:noFill/>
          </a:ln>
          <a:effectLst/>
          <a:sp3d/>
        </c:spPr>
        <c:txPr>
          <a:bodyPr rot="-60000000" spcFirstLastPara="1" vertOverflow="ellipsis" vert="horz" wrap="square" anchor="ctr" anchorCtr="1"/>
          <a:lstStyle/>
          <a:p>
            <a:pPr>
              <a:defRPr kern="1200" sz="900"/>
            </a:pPr>
          </a:p>
        </c:txPr>
        <c:crossAx val="1"/>
        <c:crosses val="autoZero"/>
        <c:crossBetween val="between"/>
      </c:valAx>
      <c:spPr>
        <a:noFill/>
        <a:ln>
          <a:noFill/>
        </a:ln>
        <a:effectLst/>
        <a:sp3d/>
      </c:spPr>
    </c:plotArea>
    <c:plotVisOnly val="1"/>
    <c:dispBlanksAs val="gap"/>
    <c:extLst>
      <c:ext uri="{56B9EC1D-385E-4148-901F-78D8002777C0}">
        <c16r3:dataDisplayOptions16 xmlns:c16r3="http://schemas.microsoft.com/office/drawing/2017/03/chart">
          <c16r3:dispNaAsBlank val="1"/>
        </c16r3:dataDisplayOptions16>
      </c:ext>
    </c:extLst>
  </c:chart>
  <c:spPr>
    <a:noFill/>
    <a:ln>
      <a:noFill/>
    </a:ln>
    <a:effectLst/>
    <a:sp3d/>
  </c:spPr>
  <c:printSettings>
    <c:headerFooter/>
    <c:pageMargins b="0.75" l="0.7" r="0.7" t="0.75" header="0.3" footer="0.3"/>
    <c:pageSetup/>
  </c:printSettings>
</c:chartSpace>
</file>

<file path=xl/drawings/_rels/drawing4.xml.rels><?xml version="1.0" encoding="UTF-8" standalone="yes"?><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4.xml><?xml version="1.0" encoding="utf-8"?>
<xdr:wsDr xmlns:xdr="http://schemas.openxmlformats.org/drawingml/2006/spreadsheetDrawing" xmlns:a="http://schemas.openxmlformats.org/drawingml/2006/main">
  <xdr:twoCellAnchor editAs="twoCell">
    <xdr:from>
      <xdr:col>2</xdr:col>
      <xdr:colOff>0</xdr:colOff>
      <xdr:row>6</xdr:row>
      <xdr:rowOff>0</xdr:rowOff>
    </xdr:from>
    <xdr:to>
      <xdr:col>3</xdr:col>
      <xdr:colOff>0</xdr:colOff>
      <xdr:row>126</xdr:row>
      <xdr:rowOff>0</xdr:rowOff>
    </xdr:to>
    <graphicFrame xmlns="http://schemas.openxmlformats.org/drawingml/2006/spreadsheetDrawing" macro="">
      <xdr:nvGraphicFramePr>
        <xdr:cNvPr id="3" name="SP track"/>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graphicFrame>
    <clientData xmlns="http://schemas.openxmlformats.org/drawingml/2006/spreadsheetDrawing"/>
  </xdr:twoCellAnchor>
  <xdr:twoCellAnchor editAs="twoCell">
    <xdr:from>
      <xdr:col>3</xdr:col>
      <xdr:colOff>0</xdr:colOff>
      <xdr:row>6</xdr:row>
      <xdr:rowOff>0</xdr:rowOff>
    </xdr:from>
    <xdr:to>
      <xdr:col>4</xdr:col>
      <xdr:colOff>0</xdr:colOff>
      <xdr:row>126</xdr:row>
      <xdr:rowOff>0</xdr:rowOff>
    </xdr:to>
    <graphicFrame xmlns="http://schemas.openxmlformats.org/drawingml/2006/spreadsheetDrawing" macro="">
      <xdr:nvGraphicFramePr>
        <xdr:cNvPr id="4" name="GR track"/>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graphicFrame>
    <clientData xmlns="http://schemas.openxmlformats.org/drawingml/2006/spreadsheetDrawing"/>
  </xdr:twoCellAnchor>
  <xdr:twoCellAnchor editAs="twoCell">
    <xdr:from>
      <xdr:col>6</xdr:col>
      <xdr:colOff>0</xdr:colOff>
      <xdr:row>6</xdr:row>
      <xdr:rowOff>0</xdr:rowOff>
    </xdr:from>
    <xdr:to>
      <xdr:col>7</xdr:col>
      <xdr:colOff>0</xdr:colOff>
      <xdr:row>126</xdr:row>
      <xdr:rowOff>0</xdr:rowOff>
    </xdr:to>
    <graphicFrame xmlns="http://schemas.openxmlformats.org/drawingml/2006/spreadsheetDrawing" macro="">
      <xdr:nvGraphicFramePr>
        <xdr:cNvPr id="5" name="Vsh track"/>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graphicFrame>
    <clientData xmlns="http://schemas.openxmlformats.org/drawingml/2006/spreadsheetDrawing"/>
  </xdr:twoCellAnchor>
  <xdr:twoCellAnchor editAs="twoCell">
    <xdr:from>
      <xdr:col>5</xdr:col>
      <xdr:colOff>0</xdr:colOff>
      <xdr:row>6</xdr:row>
      <xdr:rowOff>0</xdr:rowOff>
    </xdr:from>
    <xdr:to>
      <xdr:col>6</xdr:col>
      <xdr:colOff>0</xdr:colOff>
      <xdr:row>126</xdr:row>
      <xdr:rowOff>0</xdr:rowOff>
    </xdr:to>
    <graphicFrame xmlns="http://schemas.openxmlformats.org/drawingml/2006/spreadsheetDrawing" macro="">
      <xdr:nvGraphicFramePr>
        <xdr:cNvPr id="6" name="Resistivity track"/>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graphicFrame>
    <clientData xmlns="http://schemas.openxmlformats.org/drawingml/2006/spreadsheetDrawing"/>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rvTypesInfo>
</file>

<file path=xl/richData/rdarray.xml><?xml version="1.0" encoding="utf-8"?>
<arrayData xmlns="http://schemas.microsoft.com/office/spreadsheetml/2017/richdata2" count="0"/>
</file>

<file path=xl/richData/rdrichvalue.xml><?xml version="1.0" encoding="utf-8"?>
<rvData xmlns="http://schemas.microsoft.com/office/spreadsheetml/2017/richdata" count="0"/>
</file>

<file path=xl/richData/rdrichvaluestructure.xml><?xml version="1.0" encoding="utf-8"?>
<rvStructures xmlns="http://schemas.microsoft.com/office/spreadsheetml/2017/richdata" count="0"/>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22"/>
  <sheetViews>
    <sheetView workbookViewId="0" showGridLines="0"/>
  </sheetViews>
  <sheetFormatPr defaultRowHeight="15"/>
  <cols>
    <col min="1" max="1" width="118" customWidth="1"/>
  </cols>
  <sheetData>
    <row r="1">
      <c r="A1" s="2" t="s">
        <v>0</v>
      </c>
    </row>
    <row r="3">
      <c r="A3" s="3" t="s">
        <v>1</v>
      </c>
    </row>
    <row r="4" ht="63" customHeight="1">
      <c r="A4" s="4" t="s">
        <v>2</v>
      </c>
    </row>
    <row r="6">
      <c r="A6" s="3" t="s">
        <v>3</v>
      </c>
    </row>
    <row r="7" ht="33" customHeight="1">
      <c r="A7" s="4" t="s">
        <v>4</v>
      </c>
    </row>
    <row r="8" ht="33" customHeight="1">
      <c r="A8" s="4" t="s">
        <v>5</v>
      </c>
    </row>
    <row r="9" ht="33" customHeight="1">
      <c r="A9" s="4" t="s">
        <v>6</v>
      </c>
    </row>
    <row r="10" ht="33" customHeight="1">
      <c r="A10" s="4" t="s">
        <v>7</v>
      </c>
    </row>
    <row r="12">
      <c r="A12" s="3" t="s">
        <v>8</v>
      </c>
    </row>
    <row r="13" ht="48" customHeight="1">
      <c r="A13" s="4" t="s">
        <v>9</v>
      </c>
    </row>
    <row r="15">
      <c r="A15" s="3" t="s">
        <v>10</v>
      </c>
    </row>
    <row r="16" ht="78" customHeight="1">
      <c r="A16" s="4" t="s">
        <v>11</v>
      </c>
    </row>
    <row r="18">
      <c r="A18" s="3" t="s">
        <v>12</v>
      </c>
    </row>
    <row r="19" ht="48" customHeight="1">
      <c r="A19" s="4" t="s">
        <v>13</v>
      </c>
    </row>
    <row r="21">
      <c r="A21" s="3" t="s">
        <v>14</v>
      </c>
    </row>
    <row r="22" ht="48" customHeight="1">
      <c r="A22" s="4" t="s">
        <v>15</v>
      </c>
    </row>
  </sheetData>
  <pageSetup orientation="portrait" fitToWidth="1" fitToHeight="0"/>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F41"/>
  <sheetViews>
    <sheetView workbookViewId="0"/>
  </sheetViews>
  <sheetFormatPr defaultRowHeight="15"/>
  <cols>
    <col min="1" max="1" width="54" customWidth="1"/>
    <col min="2" max="2" width="12" customWidth="1"/>
    <col min="3" max="3" width="12" customWidth="1"/>
    <col min="4" max="4" width="12" customWidth="1"/>
    <col min="5" max="5" width="12" customWidth="1"/>
    <col min="6" max="6" width="48" customWidth="1"/>
  </cols>
  <sheetData>
    <row r="1">
      <c r="A1" s="2" t="s">
        <v>16</v>
      </c>
    </row>
    <row r="2" ht="75" customHeight="1">
      <c r="A2" s="5" t="s">
        <v>17</v>
      </c>
      <c r="B2" s="5"/>
      <c r="C2" s="5"/>
      <c r="D2" s="5"/>
      <c r="E2" s="5"/>
      <c r="F2" s="5"/>
    </row>
    <row r="4">
      <c r="A4" s="6" t="s">
        <v>18</v>
      </c>
      <c r="B4" s="6"/>
      <c r="C4" s="6"/>
      <c r="D4" s="6"/>
      <c r="E4" s="6"/>
      <c r="F4" s="6"/>
    </row>
    <row r="5">
      <c r="A5" s="0" t="s">
        <v>19</v>
      </c>
      <c r="B5" s="7" t="s">
        <v>20</v>
      </c>
      <c r="C5" s="7"/>
      <c r="D5" s="7"/>
    </row>
    <row r="6">
      <c r="A6" s="0" t="s">
        <v>21</v>
      </c>
      <c r="B6" s="9">
        <v>0</v>
      </c>
      <c r="C6" s="0" t="s">
        <v>22</v>
      </c>
      <c r="F6" s="13" t="s">
        <v>23</v>
      </c>
    </row>
    <row r="7">
      <c r="A7" s="0" t="s">
        <v>24</v>
      </c>
      <c r="B7" s="10">
        <v>1</v>
      </c>
      <c r="C7" s="0" t="s">
        <v>22</v>
      </c>
    </row>
    <row r="8">
      <c r="A8" s="0" t="s">
        <v>25</v>
      </c>
      <c r="B8" s="11">
        <v>-999.25</v>
      </c>
      <c r="C8" s="0" t="s">
        <v>26</v>
      </c>
    </row>
    <row r="10">
      <c r="A10" s="6" t="s">
        <v>27</v>
      </c>
      <c r="B10" s="6"/>
      <c r="C10" s="6"/>
      <c r="D10" s="6"/>
      <c r="E10" s="6"/>
      <c r="F10" s="6"/>
    </row>
    <row r="11">
      <c r="A11" s="0" t="s">
        <v>28</v>
      </c>
      <c r="B11" s="15">
        <v>-15</v>
      </c>
      <c r="C11" s="0" t="s">
        <v>29</v>
      </c>
      <c r="F11" s="13" t="s">
        <v>30</v>
      </c>
    </row>
    <row r="12">
      <c r="A12" s="0" t="s">
        <v>31</v>
      </c>
      <c r="B12" s="15">
        <v>-100</v>
      </c>
      <c r="C12" s="0" t="s">
        <v>29</v>
      </c>
    </row>
    <row r="13">
      <c r="A13" s="0" t="s">
        <v>32</v>
      </c>
      <c r="B13" s="15">
        <v>0</v>
      </c>
      <c r="C13" s="0" t="s">
        <v>29</v>
      </c>
    </row>
    <row r="14">
      <c r="A14" s="0" t="s">
        <v>33</v>
      </c>
      <c r="B14" s="15">
        <v>0</v>
      </c>
      <c r="C14" s="0" t="s">
        <v>34</v>
      </c>
    </row>
    <row r="15">
      <c r="A15" s="0" t="s">
        <v>35</v>
      </c>
      <c r="B15" s="15">
        <v>150</v>
      </c>
      <c r="C15" s="0" t="s">
        <v>34</v>
      </c>
    </row>
    <row r="16">
      <c r="A16" s="0" t="s">
        <v>36</v>
      </c>
      <c r="B16" s="10">
        <v>0.2</v>
      </c>
      <c r="C16" s="0" t="s">
        <v>37</v>
      </c>
      <c r="F16" s="13" t="s">
        <v>38</v>
      </c>
    </row>
    <row r="17">
      <c r="A17" s="0" t="s">
        <v>39</v>
      </c>
      <c r="B17" s="16">
        <v>2000</v>
      </c>
      <c r="C17" s="0" t="s">
        <v>37</v>
      </c>
    </row>
    <row r="19">
      <c r="A19" s="6" t="s">
        <v>40</v>
      </c>
      <c r="B19" s="6"/>
      <c r="C19" s="6"/>
      <c r="D19" s="6"/>
      <c r="E19" s="6"/>
      <c r="F19" s="6"/>
    </row>
    <row r="20">
      <c r="A20" s="0" t="s">
        <v>41</v>
      </c>
      <c r="B20" s="15">
        <v>45</v>
      </c>
      <c r="C20" s="0" t="s">
        <v>34</v>
      </c>
      <c r="F20" s="13" t="s">
        <v>42</v>
      </c>
    </row>
    <row r="21">
      <c r="A21" s="0" t="s">
        <v>43</v>
      </c>
      <c r="B21" s="15">
        <v>65</v>
      </c>
      <c r="C21" s="0" t="s">
        <v>34</v>
      </c>
    </row>
    <row r="22">
      <c r="A22" s="0" t="s">
        <v>44</v>
      </c>
      <c r="B22" s="15">
        <v>85</v>
      </c>
      <c r="C22" s="0" t="s">
        <v>34</v>
      </c>
    </row>
    <row r="23">
      <c r="A23" s="0" t="s">
        <v>45</v>
      </c>
      <c r="B23" s="15">
        <v>105</v>
      </c>
      <c r="C23" s="0" t="s">
        <v>34</v>
      </c>
    </row>
    <row r="24">
      <c r="A24" s="0" t="s">
        <v>46</v>
      </c>
      <c r="B24" s="15">
        <v>30</v>
      </c>
      <c r="C24" s="0" t="s">
        <v>34</v>
      </c>
      <c r="F24" s="13" t="s">
        <v>47</v>
      </c>
    </row>
    <row r="25">
      <c r="A25" s="0" t="s">
        <v>48</v>
      </c>
      <c r="B25" s="15">
        <v>115</v>
      </c>
      <c r="C25" s="0" t="s">
        <v>34</v>
      </c>
    </row>
    <row r="27">
      <c r="A27" s="6" t="s">
        <v>49</v>
      </c>
      <c r="B27" s="6"/>
      <c r="C27" s="6"/>
      <c r="D27" s="6"/>
      <c r="E27" s="6"/>
      <c r="F27" s="6"/>
    </row>
    <row r="28">
      <c r="A28" s="0" t="s">
        <v>50</v>
      </c>
      <c r="B28" s="1">
        <f>COUNTIF(B30:B41,"CHECK")</f>
        <v>0</v>
      </c>
    </row>
    <row r="29">
      <c r="A29" s="1" t="s">
        <v>51</v>
      </c>
      <c r="B29" s="1" t="s">
        <v>52</v>
      </c>
      <c r="C29" s="1" t="s">
        <v>53</v>
      </c>
    </row>
    <row r="30">
      <c r="A30" s="0" t="s">
        <v>54</v>
      </c>
      <c r="B30" s="17" t="str">
        <f>IF(COUNTA(LD_Depth)=LD_N,"OK","CHECK")</f>
        <v>OK</v>
      </c>
      <c r="C30" s="0" t="str">
        <f>IF(B30="OK","","A text cell or an error sits in the depth column of Log Data — a pasted header row, for example.")</f>
        <v/>
      </c>
    </row>
    <row r="31">
      <c r="A31" s="0" t="s">
        <v>55</v>
      </c>
      <c r="B31" s="17" t="str">
        <f>IF(OR(LD_N=0,AND(ISNUMBER(INDEX(LD_Depth,1)),MATCH(9.99E+307,LD_Depth)=LD_N)),"OK","CHECK")</f>
        <v>OK</v>
      </c>
      <c r="C31" s="0" t="str">
        <f>IF(B31="OK","","Start the depths on the first row of Log Data and leave no blank row among them.")</f>
        <v/>
      </c>
    </row>
    <row r="32">
      <c r="A32" s="0" t="s">
        <v>56</v>
      </c>
      <c r="B32" s="17" t="str">
        <f>IF(LD_N&gt;=2,"OK","CHECK")</f>
        <v>OK</v>
      </c>
      <c r="C32" s="0" t="str">
        <f>IF(B32="OK","","Paste the curves into Log Data, depth in the first column.")</f>
        <v/>
      </c>
    </row>
    <row r="33">
      <c r="A33" s="0" t="s">
        <v>57</v>
      </c>
      <c r="B33" s="17" t="str" cm="1">
        <f ref="B33:B33" t="array">IF(SUMPRODUCT(ISNUMBER('Log Data'!$A$6:$A$5004)*ISNUMBER('Log Data'!$A$5:$A$5003)*('Log Data'!$A$6:$A$5004&lt;='Log Data'!$A$5:$A$5003))=0,"OK","CHECK")</f>
        <v>OK</v>
      </c>
      <c r="C33" s="0" t="str">
        <f>IF(B33="OK","","Sort the curves by depth, shallowest first, with no repeated depth.")</f>
        <v/>
      </c>
    </row>
    <row r="34">
      <c r="A34" s="0" t="s">
        <v>58</v>
      </c>
      <c r="B34" s="17" t="str">
        <f>IF(COUNT('Log Data'!$A:$A)=LD_N,"OK","CHECK")</f>
        <v>OK</v>
      </c>
      <c r="C34" s="0" t="str">
        <f>IF(B34="OK","","Log Data reads 5,000 rows; depths below that are ignored. Trim the paste or thin the sampling.")</f>
        <v/>
      </c>
    </row>
    <row r="35">
      <c r="A35" s="0" t="s">
        <v>59</v>
      </c>
      <c r="B35" s="17" t="str">
        <f>IF(AND(LD_Top&lt;LD_Last,LD_Base&gt;LD_First),"OK","CHECK")</f>
        <v>OK</v>
      </c>
      <c r="C35" s="0" t="str">
        <f>IF(B35="OK","","Move the window top, or the depth per row, so the window covers some of the sampled depths.")</f>
        <v/>
      </c>
    </row>
    <row r="36">
      <c r="A36" s="0" t="s">
        <v>60</v>
      </c>
      <c r="B36" s="17" t="str">
        <f>IF(LD_Step&gt;0,"OK","CHECK")</f>
        <v>OK</v>
      </c>
      <c r="C36" s="0" t="str">
        <f>IF(B36="OK","","Type a positive number of feet.")</f>
        <v/>
      </c>
    </row>
    <row r="37">
      <c r="A37" s="0" t="s">
        <v>61</v>
      </c>
      <c r="B37" s="17" t="str">
        <f>IF(AND(LD_SPMin&lt;LD_SPMax,LD_SPBase&gt;=LD_SPMin,LD_SPBase&lt;=LD_SPMax),"OK","CHECK")</f>
        <v>OK</v>
      </c>
      <c r="C37" s="0" t="str">
        <f>IF(B37="OK","","The left edge must be below the right edge, with the baseline between them.")</f>
        <v/>
      </c>
    </row>
    <row r="38">
      <c r="A38" s="0" t="s">
        <v>62</v>
      </c>
      <c r="B38" s="17" t="str">
        <f>IF(LD_GRMin&lt;LD_GRMax,"OK","CHECK")</f>
        <v>OK</v>
      </c>
      <c r="C38" s="0" t="str">
        <f>IF(B38="OK","","The left edge must be below the right edge.")</f>
        <v/>
      </c>
    </row>
    <row r="39">
      <c r="A39" s="0" t="s">
        <v>63</v>
      </c>
      <c r="B39" s="17" t="str">
        <f>IF(AND(LD_RMin&gt;0,LD_RMax&gt;LD_RMin,LD_RMax&lt;=LD_RMin*10^6),"OK","CHECK")</f>
        <v>OK</v>
      </c>
      <c r="C39" s="0" t="str">
        <f>IF(B39="OK","","Both edges above 0 ohm·m, the left below the right, and no more than six decades apart.")</f>
        <v/>
      </c>
    </row>
    <row r="40">
      <c r="A40" s="0" t="s">
        <v>64</v>
      </c>
      <c r="B40" s="17" t="str">
        <f>IF(AND(LD_GRB1&lt;LD_GRB2,LD_GRB2&lt;LD_GRB3,LD_GRB3&lt;LD_GRB4),"OK","CHECK")</f>
        <v>OK</v>
      </c>
      <c r="C40" s="0" t="str">
        <f>IF(B40="OK","","Each palette edge must be above the one before it.")</f>
        <v/>
      </c>
    </row>
    <row r="41">
      <c r="A41" s="0" t="s">
        <v>65</v>
      </c>
      <c r="B41" s="17" t="str">
        <f>IF(LD_GRClean&lt;LD_GRShale,"OK","CHECK")</f>
        <v>OK</v>
      </c>
      <c r="C41" s="0" t="str">
        <f>IF(B41="OK","","Vsh needs a clean line below the shale line.")</f>
        <v/>
      </c>
    </row>
  </sheetData>
  <mergeCells>
    <mergeCell ref="A2:F2"/>
    <mergeCell ref="A4:F4"/>
    <mergeCell ref="B5:D5"/>
    <mergeCell ref="F6:F7"/>
    <mergeCell ref="A10:F10"/>
    <mergeCell ref="F11:F12"/>
    <mergeCell ref="F16:F17"/>
    <mergeCell ref="A19:F19"/>
    <mergeCell ref="F20:F21"/>
    <mergeCell ref="F24:F25"/>
    <mergeCell ref="A27:F27"/>
    <mergeCell ref="C30:F30"/>
    <mergeCell ref="C31:F31"/>
    <mergeCell ref="C32:F32"/>
    <mergeCell ref="C33:F33"/>
    <mergeCell ref="C34:F34"/>
    <mergeCell ref="C35:F35"/>
    <mergeCell ref="C36:F36"/>
    <mergeCell ref="C37:F37"/>
    <mergeCell ref="C38:F38"/>
    <mergeCell ref="C39:F39"/>
    <mergeCell ref="C40:F40"/>
    <mergeCell ref="C41:F41"/>
  </mergeCells>
  <conditionalFormatting sqref="B30:B41">
    <cfRule type="expression" dxfId="0" priority="1">
      <formula>$B30="CHECK"</formula>
    </cfRule>
  </conditionalFormatting>
  <conditionalFormatting sqref="C30:F41">
    <cfRule type="expression" dxfId="1" priority="2">
      <formula>$B30="CHECK"</formula>
    </cfRule>
  </conditionalFormatting>
  <conditionalFormatting sqref="B28">
    <cfRule type="expression" dxfId="2" priority="3">
      <formula>$B$28&gt;0</formula>
    </cfRule>
  </conditionalFormatting>
  <dataValidations count="3">
    <dataValidation type="decimal" showErrorMessage="1" error="A depth in feet; 0 starts the window at the top of the data." sqref="B6" xr:uid="{00000000-0000-4000-8000-000000000001}">
      <formula1>0</formula1>
      <formula2>1000000</formula2>
    </dataValidation>
    <dataValidation type="decimal" showErrorMessage="1" error="Depth per row must be a positive number of feet." sqref="B7" xr:uid="{00000000-0000-4000-8000-000000000002}">
      <formula1>0.001</formula1>
      <formula2>1000</formula2>
    </dataValidation>
    <dataValidation type="decimal" showErrorMessage="1" error="Resistivity is positive: the scale is logarithmic." sqref="B16:B17" xr:uid="{00000000-0000-4000-8000-000000000003}">
      <formula1>0.0001</formula1>
      <formula2>100000000</formula2>
    </dataValidation>
  </dataValidations>
  <pageSetup orientation="portrait" fitToWidth="1" fitToHeight="0"/>
  <headerFooter/>
</worksheet>
</file>

<file path=xl/worksheets/sheet3.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H245"/>
  <sheetViews>
    <sheetView workbookViewId="0" topLeftCell="A1">
      <pane ySplit="4" topLeftCell="A5" state="frozen" activePane="bottomLeft"/>
      <selection pane="bottomLeft" activeCell="A1" sqref="A1"/>
    </sheetView>
  </sheetViews>
  <sheetFormatPr defaultRowHeight="15"/>
  <cols>
    <col min="1" max="1" width="11" customWidth="1"/>
    <col min="2" max="2" width="11" customWidth="1"/>
    <col min="3" max="3" width="11" customWidth="1"/>
    <col min="4" max="4" width="12" customWidth="1"/>
    <col min="5" max="5" width="12" customWidth="1"/>
    <col min="6" max="6" width="12" customWidth="1"/>
    <col min="7" max="7" width="3" customWidth="1"/>
    <col min="8" max="8" width="60" customWidth="1"/>
  </cols>
  <sheetData>
    <row r="1">
      <c r="A1" s="2" t="s">
        <v>66</v>
      </c>
    </row>
    <row r="2" ht="75" customHeight="1">
      <c r="A2" s="5" t="s">
        <v>67</v>
      </c>
      <c r="B2" s="5"/>
      <c r="C2" s="5"/>
      <c r="D2" s="5"/>
      <c r="E2" s="5"/>
      <c r="F2" s="5"/>
    </row>
    <row r="3">
      <c r="A3" s="6" t="s">
        <v>68</v>
      </c>
      <c r="B3" s="6"/>
      <c r="C3" s="6"/>
      <c r="D3" s="6"/>
      <c r="E3" s="6"/>
      <c r="F3" s="6"/>
    </row>
    <row r="4">
      <c r="A4" s="1" t="s">
        <v>69</v>
      </c>
      <c r="B4" s="1" t="s">
        <v>70</v>
      </c>
      <c r="C4" s="1" t="s">
        <v>71</v>
      </c>
      <c r="D4" s="1" t="s">
        <v>72</v>
      </c>
      <c r="E4" s="1" t="s">
        <v>73</v>
      </c>
      <c r="F4" s="1" t="s">
        <v>74</v>
      </c>
      <c r="H4" s="1" t="s">
        <v>75</v>
      </c>
    </row>
    <row r="5">
      <c r="A5" s="0">
        <v>5000</v>
      </c>
      <c r="B5" s="0">
        <v>-14.7</v>
      </c>
      <c r="C5" s="0">
        <v>111.3</v>
      </c>
      <c r="D5" s="0">
        <v>2.1</v>
      </c>
      <c r="E5" s="0">
        <v>2.32</v>
      </c>
      <c r="F5" s="0">
        <v>2.43</v>
      </c>
      <c r="H5" s="5" t="s">
        <v>76</v>
      </c>
    </row>
    <row r="6">
      <c r="A6" s="0">
        <v>5000.5</v>
      </c>
      <c r="B6" s="0">
        <v>-14.1</v>
      </c>
      <c r="C6" s="0">
        <v>115.4</v>
      </c>
      <c r="D6" s="0">
        <v>2.04</v>
      </c>
      <c r="E6" s="0">
        <v>2.2</v>
      </c>
      <c r="F6" s="0">
        <v>2.48</v>
      </c>
      <c r="H6" s="5" t="s">
        <v>77</v>
      </c>
    </row>
    <row r="7">
      <c r="A7" s="0">
        <v>5001</v>
      </c>
      <c r="B7" s="0">
        <v>-14.8</v>
      </c>
      <c r="C7" s="0">
        <v>118.1</v>
      </c>
      <c r="D7" s="0">
        <v>2.08</v>
      </c>
      <c r="E7" s="0">
        <v>2.22</v>
      </c>
      <c r="F7" s="0">
        <v>2.25</v>
      </c>
      <c r="H7" s="5" t="s">
        <v>78</v>
      </c>
    </row>
    <row r="8">
      <c r="A8" s="0">
        <v>5001.5</v>
      </c>
      <c r="B8" s="0">
        <v>-14.4</v>
      </c>
      <c r="C8" s="0">
        <v>116.4</v>
      </c>
      <c r="D8" s="0">
        <v>1.99</v>
      </c>
      <c r="E8" s="0">
        <v>2.08</v>
      </c>
      <c r="F8" s="0">
        <v>2.16</v>
      </c>
    </row>
    <row r="9">
      <c r="A9" s="0">
        <v>5002</v>
      </c>
      <c r="B9" s="0">
        <v>-14.6</v>
      </c>
      <c r="C9" s="0">
        <v>116.4</v>
      </c>
      <c r="D9" s="0">
        <v>1.83</v>
      </c>
      <c r="E9" s="0">
        <v>2.05</v>
      </c>
      <c r="F9" s="0">
        <v>2.44</v>
      </c>
    </row>
    <row r="10">
      <c r="A10" s="0">
        <v>5002.5</v>
      </c>
      <c r="B10" s="0">
        <v>-16.2</v>
      </c>
      <c r="C10" s="0">
        <v>114.9</v>
      </c>
      <c r="D10" s="0">
        <v>1.93</v>
      </c>
      <c r="E10" s="0">
        <v>2.2</v>
      </c>
      <c r="F10" s="0">
        <v>2.52</v>
      </c>
    </row>
    <row r="11">
      <c r="A11" s="0">
        <v>5003</v>
      </c>
      <c r="B11" s="0">
        <v>-16</v>
      </c>
      <c r="C11" s="0">
        <v>112.1</v>
      </c>
      <c r="D11" s="0">
        <v>2.06</v>
      </c>
      <c r="E11" s="0">
        <v>2.24</v>
      </c>
      <c r="F11" s="0">
        <v>2.45</v>
      </c>
    </row>
    <row r="12">
      <c r="A12" s="0">
        <v>5003.5</v>
      </c>
      <c r="B12" s="0">
        <v>-14.8</v>
      </c>
      <c r="C12" s="0">
        <v>113.3</v>
      </c>
      <c r="D12" s="0">
        <v>2.01</v>
      </c>
      <c r="E12" s="0">
        <v>2.33</v>
      </c>
      <c r="F12" s="0">
        <v>2.56</v>
      </c>
    </row>
    <row r="13">
      <c r="A13" s="0">
        <v>5004</v>
      </c>
      <c r="B13" s="0">
        <v>-14.8</v>
      </c>
      <c r="C13" s="0">
        <v>114.4</v>
      </c>
      <c r="D13" s="0">
        <v>2.07</v>
      </c>
      <c r="E13" s="0">
        <v>2.39</v>
      </c>
      <c r="F13" s="0">
        <v>2.46</v>
      </c>
    </row>
    <row r="14">
      <c r="A14" s="0">
        <v>5004.5</v>
      </c>
      <c r="B14" s="0">
        <v>-14.5</v>
      </c>
      <c r="C14" s="0">
        <v>114.9</v>
      </c>
      <c r="D14" s="0">
        <v>2.14</v>
      </c>
      <c r="E14" s="0">
        <v>2.15</v>
      </c>
      <c r="F14" s="0">
        <v>2.25</v>
      </c>
    </row>
    <row r="15">
      <c r="A15" s="0">
        <v>5005</v>
      </c>
      <c r="B15" s="0">
        <v>-14.1</v>
      </c>
      <c r="C15" s="0">
        <v>118.4</v>
      </c>
      <c r="D15" s="0">
        <v>1.97</v>
      </c>
      <c r="E15" s="0">
        <v>2.05</v>
      </c>
      <c r="F15" s="0">
        <v>2.28</v>
      </c>
    </row>
    <row r="16">
      <c r="A16" s="0">
        <v>5005.5</v>
      </c>
      <c r="B16" s="0">
        <v>-15.1</v>
      </c>
      <c r="C16" s="0">
        <v>117.9</v>
      </c>
      <c r="D16" s="0">
        <v>1.89</v>
      </c>
      <c r="E16" s="0">
        <v>2.17</v>
      </c>
      <c r="F16" s="0">
        <v>2.31</v>
      </c>
    </row>
    <row r="17">
      <c r="A17" s="0">
        <v>5006</v>
      </c>
      <c r="B17" s="0">
        <v>-15.6</v>
      </c>
      <c r="C17" s="0">
        <v>113.2</v>
      </c>
      <c r="D17" s="0">
        <v>1.94</v>
      </c>
      <c r="E17" s="0">
        <v>2.11</v>
      </c>
      <c r="F17" s="0">
        <v>2.38</v>
      </c>
    </row>
    <row r="18">
      <c r="A18" s="0">
        <v>5006.5</v>
      </c>
      <c r="B18" s="0">
        <v>-15.6</v>
      </c>
      <c r="C18" s="0">
        <v>113.4</v>
      </c>
      <c r="D18" s="0">
        <v>1.94</v>
      </c>
      <c r="E18" s="0">
        <v>2.14</v>
      </c>
      <c r="F18" s="0">
        <v>2.62</v>
      </c>
    </row>
    <row r="19">
      <c r="A19" s="0">
        <v>5007</v>
      </c>
      <c r="B19" s="0">
        <v>-16</v>
      </c>
      <c r="C19" s="0">
        <v>114.2</v>
      </c>
      <c r="D19" s="0">
        <v>2.04</v>
      </c>
      <c r="E19" s="0">
        <v>2.42</v>
      </c>
      <c r="F19" s="0">
        <v>2.57</v>
      </c>
    </row>
    <row r="20">
      <c r="A20" s="0">
        <v>5007.5</v>
      </c>
      <c r="B20" s="0">
        <v>-15.1</v>
      </c>
      <c r="C20" s="0">
        <v>111.8</v>
      </c>
      <c r="D20" s="0">
        <v>2.14</v>
      </c>
      <c r="E20" s="0">
        <v>2.4</v>
      </c>
      <c r="F20" s="0">
        <v>2.39</v>
      </c>
    </row>
    <row r="21">
      <c r="A21" s="0">
        <v>5008</v>
      </c>
      <c r="B21" s="0">
        <v>-14.2</v>
      </c>
      <c r="C21" s="0">
        <v>114.2</v>
      </c>
      <c r="D21" s="0">
        <v>2.06</v>
      </c>
      <c r="E21" s="0">
        <v>2.2</v>
      </c>
      <c r="F21" s="0">
        <v>2.46</v>
      </c>
    </row>
    <row r="22">
      <c r="A22" s="0">
        <v>5008.5</v>
      </c>
      <c r="B22" s="0">
        <v>-15.4</v>
      </c>
      <c r="C22" s="0">
        <v>117.6</v>
      </c>
      <c r="D22" s="0">
        <v>2.06</v>
      </c>
      <c r="E22" s="0">
        <v>2.23</v>
      </c>
      <c r="F22" s="0">
        <v>2.41</v>
      </c>
    </row>
    <row r="23">
      <c r="A23" s="0">
        <v>5009</v>
      </c>
      <c r="B23" s="0">
        <v>-16.4</v>
      </c>
      <c r="C23" s="0">
        <v>115</v>
      </c>
      <c r="D23" s="0">
        <v>2.08</v>
      </c>
      <c r="E23" s="0">
        <v>2.22</v>
      </c>
      <c r="F23" s="0">
        <v>2.32</v>
      </c>
    </row>
    <row r="24">
      <c r="A24" s="0">
        <v>5009.5</v>
      </c>
      <c r="B24" s="0">
        <v>-17.3</v>
      </c>
      <c r="C24" s="0">
        <v>111.9</v>
      </c>
      <c r="D24" s="0">
        <v>1.98</v>
      </c>
      <c r="E24" s="0">
        <v>2.27</v>
      </c>
      <c r="F24" s="0">
        <v>2.72</v>
      </c>
    </row>
    <row r="25">
      <c r="A25" s="0">
        <v>5010</v>
      </c>
      <c r="B25" s="0">
        <v>-20.7</v>
      </c>
      <c r="C25" s="0">
        <v>108.4</v>
      </c>
      <c r="D25" s="0">
        <v>2.12</v>
      </c>
      <c r="E25" s="0">
        <v>2.66</v>
      </c>
      <c r="F25" s="0">
        <v>3.27</v>
      </c>
    </row>
    <row r="26">
      <c r="A26" s="0">
        <v>5010.5</v>
      </c>
      <c r="B26" s="0">
        <v>-24.6</v>
      </c>
      <c r="C26" s="0">
        <v>101.1</v>
      </c>
      <c r="D26" s="0">
        <v>2.55</v>
      </c>
      <c r="E26" s="0">
        <v>3.15</v>
      </c>
      <c r="F26" s="0">
        <v>3.69</v>
      </c>
    </row>
    <row r="27">
      <c r="A27" s="0">
        <v>5011</v>
      </c>
      <c r="B27" s="0">
        <v>-28.8</v>
      </c>
      <c r="C27" s="0">
        <v>94.5</v>
      </c>
      <c r="D27" s="0">
        <v>2.89</v>
      </c>
      <c r="E27" s="0">
        <v>3.91</v>
      </c>
      <c r="F27" s="0">
        <v>4.83</v>
      </c>
    </row>
    <row r="28">
      <c r="A28" s="0">
        <v>5011.5</v>
      </c>
      <c r="B28" s="0">
        <v>-36.3</v>
      </c>
      <c r="C28" s="0">
        <v>86.5</v>
      </c>
      <c r="D28" s="0">
        <v>3.44</v>
      </c>
      <c r="E28" s="0">
        <v>5.44</v>
      </c>
      <c r="F28" s="0">
        <v>6.96</v>
      </c>
    </row>
    <row r="29">
      <c r="A29" s="0">
        <v>5012</v>
      </c>
      <c r="B29" s="0">
        <v>-46</v>
      </c>
      <c r="C29" s="0">
        <v>73.9</v>
      </c>
      <c r="D29" s="0">
        <v>4.47</v>
      </c>
      <c r="E29" s="0">
        <v>7.2</v>
      </c>
      <c r="F29" s="0">
        <v>10</v>
      </c>
    </row>
    <row r="30">
      <c r="A30" s="0">
        <v>5012.5</v>
      </c>
      <c r="B30" s="0">
        <v>-55.3</v>
      </c>
      <c r="C30" s="0">
        <v>63.4</v>
      </c>
      <c r="D30" s="0">
        <v>5.29</v>
      </c>
      <c r="E30" s="0">
        <v>9.46</v>
      </c>
      <c r="F30" s="0">
        <v>15.9</v>
      </c>
    </row>
    <row r="31">
      <c r="A31" s="0">
        <v>5013</v>
      </c>
      <c r="B31" s="0">
        <v>-64</v>
      </c>
      <c r="C31" s="0">
        <v>53.9</v>
      </c>
      <c r="D31" s="0">
        <v>6.01</v>
      </c>
      <c r="E31" s="0">
        <v>13.7</v>
      </c>
      <c r="F31" s="0">
        <v>24.2</v>
      </c>
    </row>
    <row r="32">
      <c r="A32" s="0">
        <v>5013.5</v>
      </c>
      <c r="B32" s="0">
        <v>-70.4</v>
      </c>
      <c r="C32" s="0">
        <v>41.5</v>
      </c>
      <c r="D32" s="0">
        <v>7.12</v>
      </c>
      <c r="E32" s="0">
        <v>17.5</v>
      </c>
      <c r="F32" s="0">
        <v>32.2</v>
      </c>
    </row>
    <row r="33">
      <c r="A33" s="0">
        <v>5014</v>
      </c>
      <c r="B33" s="0">
        <v>-73.7</v>
      </c>
      <c r="C33" s="0">
        <v>35.2</v>
      </c>
      <c r="D33" s="0">
        <v>7.92</v>
      </c>
      <c r="E33" s="0">
        <v>19.5</v>
      </c>
      <c r="F33" s="0">
        <v>41.2</v>
      </c>
    </row>
    <row r="34">
      <c r="A34" s="0">
        <v>5014.5</v>
      </c>
      <c r="B34" s="0">
        <v>-75.9</v>
      </c>
      <c r="C34" s="0">
        <v>35.1</v>
      </c>
      <c r="D34" s="0">
        <v>8.6</v>
      </c>
      <c r="E34" s="0">
        <v>23.2</v>
      </c>
      <c r="F34" s="0">
        <v>45.9</v>
      </c>
    </row>
    <row r="35">
      <c r="A35" s="0">
        <v>5015</v>
      </c>
      <c r="B35" s="0">
        <v>-76.6</v>
      </c>
      <c r="C35" s="0">
        <v>32.5</v>
      </c>
      <c r="D35" s="0">
        <v>9.33</v>
      </c>
      <c r="E35" s="0">
        <v>24.9</v>
      </c>
      <c r="F35" s="0">
        <v>43.6</v>
      </c>
    </row>
    <row r="36">
      <c r="A36" s="0">
        <v>5015.5</v>
      </c>
      <c r="B36" s="0">
        <v>-75.9</v>
      </c>
      <c r="C36" s="0">
        <v>32.4</v>
      </c>
      <c r="D36" s="0">
        <v>9.08</v>
      </c>
      <c r="E36" s="0">
        <v>22.9</v>
      </c>
      <c r="F36" s="0">
        <v>44.7</v>
      </c>
    </row>
    <row r="37">
      <c r="A37" s="0">
        <v>5016</v>
      </c>
      <c r="B37" s="0">
        <v>-76.9</v>
      </c>
      <c r="C37" s="0">
        <v>36.1</v>
      </c>
      <c r="D37" s="0">
        <v>8.74</v>
      </c>
      <c r="E37" s="0">
        <v>22.5</v>
      </c>
      <c r="F37" s="0">
        <v>46.3</v>
      </c>
    </row>
    <row r="38">
      <c r="A38" s="0">
        <v>5016.5</v>
      </c>
      <c r="B38" s="0">
        <v>-78.2</v>
      </c>
      <c r="C38" s="0">
        <v>34.8</v>
      </c>
      <c r="D38" s="0">
        <v>8.92</v>
      </c>
      <c r="E38" s="0">
        <v>22.9</v>
      </c>
      <c r="F38" s="0">
        <v>43.8</v>
      </c>
    </row>
    <row r="39">
      <c r="A39" s="0">
        <v>5017</v>
      </c>
      <c r="B39" s="0">
        <v>-77.9</v>
      </c>
      <c r="C39" s="0">
        <v>31.7</v>
      </c>
      <c r="D39" s="0">
        <v>8.52</v>
      </c>
      <c r="E39" s="0">
        <v>22.5</v>
      </c>
      <c r="F39" s="0">
        <v>46.7</v>
      </c>
    </row>
    <row r="40">
      <c r="A40" s="0">
        <v>5017.5</v>
      </c>
      <c r="B40" s="0">
        <v>-78.4</v>
      </c>
      <c r="C40" s="0">
        <v>31.2</v>
      </c>
      <c r="D40" s="0">
        <v>8.4</v>
      </c>
      <c r="E40" s="0">
        <v>24.1</v>
      </c>
      <c r="F40" s="0">
        <v>52.6</v>
      </c>
    </row>
    <row r="41">
      <c r="A41" s="0">
        <v>5018</v>
      </c>
      <c r="B41" s="0">
        <v>-79.2</v>
      </c>
      <c r="C41" s="0">
        <v>29.5</v>
      </c>
      <c r="D41" s="0">
        <v>9.35</v>
      </c>
      <c r="E41" s="0">
        <v>25.5</v>
      </c>
      <c r="F41" s="0">
        <v>50.6</v>
      </c>
    </row>
    <row r="42">
      <c r="A42" s="0">
        <v>5018.5</v>
      </c>
      <c r="B42" s="0">
        <v>-77.9</v>
      </c>
      <c r="C42" s="0">
        <v>29.8</v>
      </c>
      <c r="D42" s="0">
        <v>9.59</v>
      </c>
      <c r="E42" s="0">
        <v>24.8</v>
      </c>
      <c r="F42" s="0">
        <v>48.2</v>
      </c>
    </row>
    <row r="43">
      <c r="A43" s="0">
        <v>5019</v>
      </c>
      <c r="B43" s="0">
        <v>-77</v>
      </c>
      <c r="C43" s="0">
        <v>33.2</v>
      </c>
      <c r="D43" s="0">
        <v>9.09</v>
      </c>
      <c r="E43" s="0">
        <v>25.1</v>
      </c>
      <c r="F43" s="0">
        <v>48.3</v>
      </c>
    </row>
    <row r="44">
      <c r="A44" s="0">
        <v>5019.5</v>
      </c>
      <c r="B44" s="0">
        <v>-77.5</v>
      </c>
      <c r="C44" s="0">
        <v>33.3</v>
      </c>
      <c r="D44" s="0">
        <v>9.22</v>
      </c>
      <c r="E44" s="0">
        <v>24.1</v>
      </c>
      <c r="F44" s="0">
        <v>45.2</v>
      </c>
    </row>
    <row r="45">
      <c r="A45" s="0">
        <v>5020</v>
      </c>
      <c r="B45" s="0">
        <v>-77.5</v>
      </c>
      <c r="C45" s="0">
        <v>33.4</v>
      </c>
      <c r="D45" s="0">
        <v>8.99</v>
      </c>
      <c r="E45" s="0">
        <v>21.6</v>
      </c>
      <c r="F45" s="0">
        <v>44.8</v>
      </c>
    </row>
    <row r="46">
      <c r="A46" s="0">
        <v>5020.5</v>
      </c>
      <c r="B46" s="0">
        <v>-78</v>
      </c>
      <c r="C46" s="0">
        <v>35</v>
      </c>
      <c r="D46" s="0">
        <v>8.4</v>
      </c>
      <c r="E46" s="0">
        <v>22.7</v>
      </c>
      <c r="F46" s="0">
        <v>48</v>
      </c>
    </row>
    <row r="47">
      <c r="A47" s="0">
        <v>5021</v>
      </c>
      <c r="B47" s="0">
        <v>-79</v>
      </c>
      <c r="C47" s="0">
        <v>31.2</v>
      </c>
      <c r="D47" s="0">
        <v>8.65</v>
      </c>
      <c r="E47" s="0">
        <v>24.8</v>
      </c>
      <c r="F47" s="0">
        <v>48.7</v>
      </c>
    </row>
    <row r="48">
      <c r="A48" s="0">
        <v>5021.5</v>
      </c>
      <c r="B48" s="0">
        <v>-78.5</v>
      </c>
      <c r="C48" s="0">
        <v>27.9</v>
      </c>
      <c r="D48" s="0">
        <v>9.03</v>
      </c>
      <c r="E48" s="0">
        <v>24</v>
      </c>
      <c r="F48" s="0">
        <v>50.8</v>
      </c>
    </row>
    <row r="49">
      <c r="A49" s="0">
        <v>5022</v>
      </c>
      <c r="B49" s="0">
        <v>-78.2</v>
      </c>
      <c r="C49" s="0">
        <v>31.1</v>
      </c>
      <c r="D49" s="0">
        <v>9.18</v>
      </c>
      <c r="E49" s="0">
        <v>25</v>
      </c>
      <c r="F49" s="0">
        <v>52.3</v>
      </c>
    </row>
    <row r="50">
      <c r="A50" s="0">
        <v>5022.5</v>
      </c>
      <c r="B50" s="0">
        <v>-78.1</v>
      </c>
      <c r="C50" s="0">
        <v>32.2</v>
      </c>
      <c r="D50" s="0">
        <v>9.61</v>
      </c>
      <c r="E50" s="0">
        <v>26.3</v>
      </c>
      <c r="F50" s="0">
        <v>46.9</v>
      </c>
    </row>
    <row r="51">
      <c r="A51" s="0">
        <v>5023</v>
      </c>
      <c r="B51" s="0">
        <v>-76.9</v>
      </c>
      <c r="C51" s="0">
        <v>31.5</v>
      </c>
      <c r="D51" s="0">
        <v>9.34</v>
      </c>
      <c r="E51" s="0">
        <v>23.8</v>
      </c>
      <c r="F51" s="0">
        <v>44.6</v>
      </c>
    </row>
    <row r="52">
      <c r="A52" s="0">
        <v>5023.5</v>
      </c>
      <c r="B52" s="0">
        <v>-77</v>
      </c>
      <c r="C52" s="0">
        <v>34.8</v>
      </c>
      <c r="D52" s="0">
        <v>8.66</v>
      </c>
      <c r="E52" s="0">
        <v>22.3</v>
      </c>
      <c r="F52" s="0">
        <v>47.3</v>
      </c>
    </row>
    <row r="53">
      <c r="A53" s="0">
        <v>5024</v>
      </c>
      <c r="B53" s="0">
        <v>-78.6</v>
      </c>
      <c r="C53" s="0">
        <v>35</v>
      </c>
      <c r="D53" s="0">
        <v>8.8</v>
      </c>
      <c r="E53" s="0">
        <v>23.1</v>
      </c>
      <c r="F53" s="0">
        <v>46.1</v>
      </c>
    </row>
    <row r="54">
      <c r="A54" s="0">
        <v>5024.5</v>
      </c>
      <c r="B54" s="0">
        <v>-78.5</v>
      </c>
      <c r="C54" s="0">
        <v>31.2</v>
      </c>
      <c r="D54" s="0">
        <v>8.77</v>
      </c>
      <c r="E54" s="0">
        <v>23.1</v>
      </c>
      <c r="F54" s="0">
        <v>46.5</v>
      </c>
    </row>
    <row r="55">
      <c r="A55" s="0">
        <v>5025</v>
      </c>
      <c r="B55" s="0">
        <v>-78.2</v>
      </c>
      <c r="C55" s="0">
        <v>30.4</v>
      </c>
      <c r="D55" s="0">
        <v>8.47</v>
      </c>
      <c r="E55" s="0">
        <v>24.2</v>
      </c>
      <c r="F55" s="0">
        <v>52.4</v>
      </c>
    </row>
    <row r="56">
      <c r="A56" s="0">
        <v>5025.5</v>
      </c>
      <c r="B56" s="0">
        <v>-78.9</v>
      </c>
      <c r="C56" s="0">
        <v>29.9</v>
      </c>
      <c r="D56" s="0">
        <v>9.21</v>
      </c>
      <c r="E56" s="0">
        <v>25.9</v>
      </c>
      <c r="F56" s="0">
        <v>51.9</v>
      </c>
    </row>
    <row r="57">
      <c r="A57" s="0">
        <v>5026</v>
      </c>
      <c r="B57" s="0">
        <v>-78.1</v>
      </c>
      <c r="C57" s="0">
        <v>29.8</v>
      </c>
      <c r="D57" s="0">
        <v>9.8</v>
      </c>
      <c r="E57" s="0">
        <v>24.9</v>
      </c>
      <c r="F57" s="0">
        <v>47.4</v>
      </c>
    </row>
    <row r="58">
      <c r="A58" s="0">
        <v>5026.5</v>
      </c>
      <c r="B58" s="0">
        <v>-76.8</v>
      </c>
      <c r="C58" s="0">
        <v>33.4</v>
      </c>
      <c r="D58" s="0">
        <v>9.16</v>
      </c>
      <c r="E58" s="0">
        <v>24.3</v>
      </c>
      <c r="F58" s="0">
        <v>47.1</v>
      </c>
    </row>
    <row r="59">
      <c r="A59" s="0">
        <v>5027</v>
      </c>
      <c r="B59" s="0">
        <v>-77.3</v>
      </c>
      <c r="C59" s="0">
        <v>34.4</v>
      </c>
      <c r="D59" s="0">
        <v>8.95</v>
      </c>
      <c r="E59" s="0">
        <v>24.2</v>
      </c>
      <c r="F59" s="0">
        <v>45.7</v>
      </c>
    </row>
    <row r="60">
      <c r="A60" s="0">
        <v>5027.5</v>
      </c>
      <c r="B60" s="0">
        <v>-77.8</v>
      </c>
      <c r="C60" s="0">
        <v>32.8</v>
      </c>
      <c r="D60" s="0">
        <v>8.97</v>
      </c>
      <c r="E60" s="0">
        <v>22</v>
      </c>
      <c r="F60" s="0">
        <v>44.7</v>
      </c>
    </row>
    <row r="61">
      <c r="A61" s="0">
        <v>5028</v>
      </c>
      <c r="B61" s="0">
        <v>-78.1</v>
      </c>
      <c r="C61" s="0">
        <v>34</v>
      </c>
      <c r="D61" s="0">
        <v>8.47</v>
      </c>
      <c r="E61" s="0">
        <v>22.1</v>
      </c>
      <c r="F61" s="0">
        <v>48.3</v>
      </c>
    </row>
    <row r="62">
      <c r="A62" s="0">
        <v>5028.5</v>
      </c>
      <c r="B62" s="0">
        <v>-78.9</v>
      </c>
      <c r="C62" s="0">
        <v>32.1</v>
      </c>
      <c r="D62" s="0">
        <v>8.59</v>
      </c>
      <c r="E62" s="0">
        <v>25.1</v>
      </c>
      <c r="F62" s="0">
        <v>49.7</v>
      </c>
    </row>
    <row r="63">
      <c r="A63" s="0">
        <v>5029</v>
      </c>
      <c r="B63" s="0">
        <v>-78.5</v>
      </c>
      <c r="C63" s="0">
        <v>27.8</v>
      </c>
      <c r="D63" s="0">
        <v>9.14</v>
      </c>
      <c r="E63" s="0">
        <v>24.9</v>
      </c>
      <c r="F63" s="0">
        <v>49.7</v>
      </c>
    </row>
    <row r="64">
      <c r="A64" s="0">
        <v>5029.5</v>
      </c>
      <c r="B64" s="0">
        <v>-77.6</v>
      </c>
      <c r="C64" s="0">
        <v>30.4</v>
      </c>
      <c r="D64" s="0">
        <v>9.2</v>
      </c>
      <c r="E64" s="0">
        <v>24.2</v>
      </c>
      <c r="F64" s="0">
        <v>51.2</v>
      </c>
    </row>
    <row r="65">
      <c r="A65" s="0">
        <v>5030</v>
      </c>
      <c r="B65" s="0">
        <v>-77.5</v>
      </c>
      <c r="C65" s="0">
        <v>34</v>
      </c>
      <c r="D65" s="0">
        <v>9.4</v>
      </c>
      <c r="E65" s="0">
        <v>25.3</v>
      </c>
      <c r="F65" s="0">
        <v>46.7</v>
      </c>
    </row>
    <row r="66">
      <c r="A66" s="0">
        <v>5030.5</v>
      </c>
      <c r="B66" s="0">
        <v>-76.4</v>
      </c>
      <c r="C66" s="0">
        <v>33.5</v>
      </c>
      <c r="D66" s="0">
        <v>9.23</v>
      </c>
      <c r="E66" s="0">
        <v>23.4</v>
      </c>
      <c r="F66" s="0">
        <v>41.9</v>
      </c>
    </row>
    <row r="67">
      <c r="A67" s="0">
        <v>5031</v>
      </c>
      <c r="B67" s="0">
        <v>-75.4</v>
      </c>
      <c r="C67" s="0">
        <v>35.7</v>
      </c>
      <c r="D67" s="0">
        <v>8.31</v>
      </c>
      <c r="E67" s="0">
        <v>20.8</v>
      </c>
      <c r="F67" s="0">
        <v>43.5</v>
      </c>
    </row>
    <row r="68">
      <c r="A68" s="0">
        <v>5031.5</v>
      </c>
      <c r="B68" s="0">
        <v>-75.8</v>
      </c>
      <c r="C68" s="0">
        <v>38.4</v>
      </c>
      <c r="D68" s="0">
        <v>8.04</v>
      </c>
      <c r="E68" s="0">
        <v>20.7</v>
      </c>
      <c r="F68" s="0">
        <v>42.4</v>
      </c>
    </row>
    <row r="69">
      <c r="A69" s="0">
        <v>5032</v>
      </c>
      <c r="B69" s="0">
        <v>-74.3</v>
      </c>
      <c r="C69" s="0">
        <v>37.5</v>
      </c>
      <c r="D69" s="0">
        <v>7.97</v>
      </c>
      <c r="E69" s="0">
        <v>19.7</v>
      </c>
      <c r="F69" s="0">
        <v>37.3</v>
      </c>
    </row>
    <row r="70">
      <c r="A70" s="0">
        <v>5032.5</v>
      </c>
      <c r="B70" s="0">
        <v>-69.8</v>
      </c>
      <c r="C70" s="0">
        <v>40.6</v>
      </c>
      <c r="D70" s="0">
        <v>7.1</v>
      </c>
      <c r="E70" s="0">
        <v>17.7</v>
      </c>
      <c r="F70" s="0">
        <v>34.4</v>
      </c>
    </row>
    <row r="71">
      <c r="A71" s="0">
        <v>5033</v>
      </c>
      <c r="B71" s="0">
        <v>-64.4</v>
      </c>
      <c r="C71" s="0">
        <v>48.7</v>
      </c>
      <c r="D71" s="0">
        <v>6.48</v>
      </c>
      <c r="E71" s="0">
        <v>15.3</v>
      </c>
      <c r="F71" s="0">
        <v>27</v>
      </c>
    </row>
    <row r="72">
      <c r="A72" s="0">
        <v>5033.5</v>
      </c>
      <c r="B72" s="0">
        <v>-56.3</v>
      </c>
      <c r="C72" s="0">
        <v>59.1</v>
      </c>
      <c r="D72" s="0">
        <v>5.83</v>
      </c>
      <c r="E72" s="0">
        <v>10.9</v>
      </c>
      <c r="F72" s="0">
        <v>16.6</v>
      </c>
    </row>
    <row r="73">
      <c r="A73" s="0">
        <v>5034</v>
      </c>
      <c r="B73" s="0">
        <v>-45.4</v>
      </c>
      <c r="C73" s="0">
        <v>74.7</v>
      </c>
      <c r="D73" s="0">
        <v>4.39</v>
      </c>
      <c r="E73" s="0">
        <v>7.16</v>
      </c>
      <c r="F73" s="0">
        <v>10.3</v>
      </c>
    </row>
    <row r="74">
      <c r="A74" s="0">
        <v>5034.5</v>
      </c>
      <c r="B74" s="0">
        <v>-36.2</v>
      </c>
      <c r="C74" s="0">
        <v>89.3</v>
      </c>
      <c r="D74" s="0">
        <v>3.28</v>
      </c>
      <c r="E74" s="0">
        <v>5.05</v>
      </c>
      <c r="F74" s="0">
        <v>6.56</v>
      </c>
    </row>
    <row r="75">
      <c r="A75" s="0">
        <v>5035</v>
      </c>
      <c r="B75" s="0">
        <v>-29.2</v>
      </c>
      <c r="C75" s="0">
        <v>97.1</v>
      </c>
      <c r="D75" s="0">
        <v>2.76</v>
      </c>
      <c r="E75" s="0">
        <v>3.54</v>
      </c>
      <c r="F75" s="0">
        <v>4.42</v>
      </c>
    </row>
    <row r="76">
      <c r="A76" s="0">
        <v>5035.5</v>
      </c>
      <c r="B76" s="0">
        <v>-23.8</v>
      </c>
      <c r="C76" s="0">
        <v>104.1</v>
      </c>
      <c r="D76" s="0">
        <v>2.35</v>
      </c>
      <c r="E76" s="0">
        <v>2.78</v>
      </c>
      <c r="F76" s="0">
        <v>3.64</v>
      </c>
    </row>
    <row r="77">
      <c r="A77" s="0">
        <v>5036</v>
      </c>
      <c r="B77" s="0">
        <v>-20.9</v>
      </c>
      <c r="C77" s="0">
        <v>108.7</v>
      </c>
      <c r="D77" s="0">
        <v>2.16</v>
      </c>
      <c r="E77" s="0">
        <v>2.77</v>
      </c>
      <c r="F77" s="0">
        <v>3.25</v>
      </c>
    </row>
    <row r="78">
      <c r="A78" s="0">
        <v>5036.5</v>
      </c>
      <c r="B78" s="0">
        <v>-18.9</v>
      </c>
      <c r="C78" s="0">
        <v>107.2</v>
      </c>
      <c r="D78" s="0">
        <v>2.22</v>
      </c>
      <c r="E78" s="0">
        <v>2.69</v>
      </c>
      <c r="F78" s="0">
        <v>2.88</v>
      </c>
    </row>
    <row r="79">
      <c r="A79" s="0">
        <v>5037</v>
      </c>
      <c r="B79" s="0">
        <v>-16.9</v>
      </c>
      <c r="C79" s="0">
        <v>109</v>
      </c>
      <c r="D79" s="0">
        <v>2.21</v>
      </c>
      <c r="E79" s="0">
        <v>2.45</v>
      </c>
      <c r="F79" s="0">
        <v>2.83</v>
      </c>
    </row>
    <row r="80">
      <c r="A80" s="0">
        <v>5037.5</v>
      </c>
      <c r="B80" s="0">
        <v>-16.9</v>
      </c>
      <c r="C80" s="0">
        <v>113.8</v>
      </c>
      <c r="D80" s="0">
        <v>2.22</v>
      </c>
      <c r="E80" s="0">
        <v>2.52</v>
      </c>
      <c r="F80" s="0">
        <v>2.73</v>
      </c>
    </row>
    <row r="81">
      <c r="A81" s="0">
        <v>5038</v>
      </c>
      <c r="B81" s="0">
        <v>-17.8</v>
      </c>
      <c r="C81" s="0">
        <v>112.2</v>
      </c>
      <c r="D81" s="0">
        <v>2.29</v>
      </c>
      <c r="E81" s="0">
        <v>2.57</v>
      </c>
      <c r="F81" s="0">
        <v>2.57</v>
      </c>
    </row>
    <row r="82">
      <c r="A82" s="0">
        <v>5038.5</v>
      </c>
      <c r="B82" s="0">
        <v>-19.1</v>
      </c>
      <c r="C82" s="0">
        <v>108.7</v>
      </c>
      <c r="D82" s="0">
        <v>2.24</v>
      </c>
      <c r="E82" s="0">
        <v>2.55</v>
      </c>
      <c r="F82" s="0">
        <v>2.99</v>
      </c>
    </row>
    <row r="83">
      <c r="A83" s="0">
        <v>5039</v>
      </c>
      <c r="B83" s="0">
        <v>-23.6</v>
      </c>
      <c r="C83" s="0">
        <v>105.3</v>
      </c>
      <c r="D83" s="0">
        <v>2.38</v>
      </c>
      <c r="E83" s="0">
        <v>3.03</v>
      </c>
      <c r="F83" s="0">
        <v>3.91</v>
      </c>
    </row>
    <row r="84">
      <c r="A84" s="0">
        <v>5039.5</v>
      </c>
      <c r="B84" s="0">
        <v>-29.3</v>
      </c>
      <c r="C84" s="0">
        <v>95.9</v>
      </c>
      <c r="D84" s="0">
        <v>2.93</v>
      </c>
      <c r="E84" s="0">
        <v>4</v>
      </c>
      <c r="F84" s="0">
        <v>4.88</v>
      </c>
    </row>
    <row r="85">
      <c r="A85" s="0">
        <v>5040</v>
      </c>
      <c r="B85" s="0">
        <v>-33.9</v>
      </c>
      <c r="C85" s="0">
        <v>85.4</v>
      </c>
      <c r="D85" s="0">
        <v>3.46</v>
      </c>
      <c r="E85" s="0">
        <v>5.26</v>
      </c>
      <c r="F85" s="0">
        <v>6.84</v>
      </c>
    </row>
    <row r="86">
      <c r="A86" s="0">
        <v>5040.5</v>
      </c>
      <c r="B86" s="0">
        <v>-39</v>
      </c>
      <c r="C86" s="0">
        <v>78.9</v>
      </c>
      <c r="D86" s="0">
        <v>4.08</v>
      </c>
      <c r="E86" s="0">
        <v>7.15</v>
      </c>
      <c r="F86" s="0">
        <v>9.77</v>
      </c>
    </row>
    <row r="87">
      <c r="A87" s="0">
        <v>5041</v>
      </c>
      <c r="B87" s="0">
        <v>-43.9</v>
      </c>
      <c r="C87" s="0">
        <v>72.8</v>
      </c>
      <c r="D87" s="0">
        <v>5.07</v>
      </c>
      <c r="E87" s="0">
        <v>8.7</v>
      </c>
      <c r="F87" s="0">
        <v>11.4</v>
      </c>
    </row>
    <row r="88">
      <c r="A88" s="0">
        <v>5041.5</v>
      </c>
      <c r="B88" s="0">
        <v>-46.2</v>
      </c>
      <c r="C88" s="0">
        <v>70</v>
      </c>
      <c r="D88" s="0">
        <v>5.46</v>
      </c>
      <c r="E88" s="0">
        <v>9.24</v>
      </c>
      <c r="F88" s="0">
        <v>12.8</v>
      </c>
    </row>
    <row r="89">
      <c r="A89" s="0">
        <v>5042</v>
      </c>
      <c r="B89" s="0">
        <v>-48.2</v>
      </c>
      <c r="C89" s="0">
        <v>69.7</v>
      </c>
      <c r="D89" s="0">
        <v>5.29</v>
      </c>
      <c r="E89" s="0">
        <v>10.2</v>
      </c>
      <c r="F89" s="0">
        <v>14.8</v>
      </c>
    </row>
    <row r="90">
      <c r="A90" s="0">
        <v>5042.5</v>
      </c>
      <c r="B90" s="0">
        <v>-50.7</v>
      </c>
      <c r="C90" s="0">
        <v>65.4</v>
      </c>
      <c r="D90" s="0">
        <v>5.51</v>
      </c>
      <c r="E90" s="0">
        <v>10.8</v>
      </c>
      <c r="F90" s="0">
        <v>15.9</v>
      </c>
    </row>
    <row r="91">
      <c r="A91" s="0">
        <v>5043</v>
      </c>
      <c r="B91" s="0">
        <v>-51.7</v>
      </c>
      <c r="C91" s="0">
        <v>62.1</v>
      </c>
      <c r="D91" s="0">
        <v>5.68</v>
      </c>
      <c r="E91" s="0">
        <v>10.7</v>
      </c>
      <c r="F91" s="0">
        <v>17.3</v>
      </c>
    </row>
    <row r="92">
      <c r="A92" s="0">
        <v>5043.5</v>
      </c>
      <c r="B92" s="0">
        <v>-52.3</v>
      </c>
      <c r="C92" s="0">
        <v>62.6</v>
      </c>
      <c r="D92" s="0">
        <v>5.7</v>
      </c>
      <c r="E92" s="0">
        <v>11.9</v>
      </c>
      <c r="F92" s="0">
        <v>18.9</v>
      </c>
    </row>
    <row r="93">
      <c r="A93" s="0">
        <v>5044</v>
      </c>
      <c r="B93" s="0">
        <v>-52.5</v>
      </c>
      <c r="C93" s="0">
        <v>59.9</v>
      </c>
      <c r="D93" s="0">
        <v>6.11</v>
      </c>
      <c r="E93" s="0">
        <v>13.2</v>
      </c>
      <c r="F93" s="0">
        <v>18.3</v>
      </c>
    </row>
    <row r="94">
      <c r="A94" s="0">
        <v>5044.5</v>
      </c>
      <c r="B94" s="0">
        <v>-51.4</v>
      </c>
      <c r="C94" s="0">
        <v>58.9</v>
      </c>
      <c r="D94" s="0">
        <v>6.29</v>
      </c>
      <c r="E94" s="0">
        <v>12.2</v>
      </c>
      <c r="F94" s="0">
        <v>17.9</v>
      </c>
    </row>
    <row r="95">
      <c r="A95" s="0">
        <v>5045</v>
      </c>
      <c r="B95" s="0">
        <v>-51.1</v>
      </c>
      <c r="C95" s="0">
        <v>63.9</v>
      </c>
      <c r="D95" s="0">
        <v>6.12</v>
      </c>
      <c r="E95" s="0">
        <v>11.7</v>
      </c>
      <c r="F95" s="0">
        <v>17.8</v>
      </c>
    </row>
    <row r="96">
      <c r="A96" s="0">
        <v>5045.5</v>
      </c>
      <c r="B96" s="0">
        <v>-51.7</v>
      </c>
      <c r="C96" s="0">
        <v>65.2</v>
      </c>
      <c r="D96" s="0">
        <v>6.11</v>
      </c>
      <c r="E96" s="0">
        <v>11.8</v>
      </c>
      <c r="F96" s="0">
        <v>15.9</v>
      </c>
    </row>
    <row r="97">
      <c r="A97" s="0">
        <v>5046</v>
      </c>
      <c r="B97" s="0">
        <v>-51.3</v>
      </c>
      <c r="C97" s="0">
        <v>62.8</v>
      </c>
      <c r="D97" s="0">
        <v>5.75</v>
      </c>
      <c r="E97" s="0">
        <v>10.7</v>
      </c>
      <c r="F97" s="0">
        <v>15.5</v>
      </c>
    </row>
    <row r="98">
      <c r="A98" s="0">
        <v>5046.5</v>
      </c>
      <c r="B98" s="0">
        <v>-51.9</v>
      </c>
      <c r="C98" s="0">
        <v>63.2</v>
      </c>
      <c r="D98" s="0">
        <v>5.37</v>
      </c>
      <c r="E98" s="0">
        <v>10.3</v>
      </c>
      <c r="F98" s="0">
        <v>16.7</v>
      </c>
    </row>
    <row r="99">
      <c r="A99" s="0">
        <v>5047</v>
      </c>
      <c r="B99" s="0">
        <v>-53.3</v>
      </c>
      <c r="C99" s="0">
        <v>61.8</v>
      </c>
      <c r="D99" s="0">
        <v>5.64</v>
      </c>
      <c r="E99" s="0">
        <v>10.5</v>
      </c>
      <c r="F99" s="0">
        <v>15.2</v>
      </c>
    </row>
    <row r="100">
      <c r="A100" s="0">
        <v>5047.5</v>
      </c>
      <c r="B100" s="0">
        <v>-52.4</v>
      </c>
      <c r="C100" s="0">
        <v>59.1</v>
      </c>
      <c r="D100" s="0">
        <v>5.69</v>
      </c>
      <c r="E100" s="0">
        <v>9.53</v>
      </c>
      <c r="F100" s="0">
        <v>12.6</v>
      </c>
    </row>
    <row r="101">
      <c r="A101" s="0">
        <v>5048</v>
      </c>
      <c r="B101" s="0">
        <v>-51.1</v>
      </c>
      <c r="C101" s="0">
        <v>60.8</v>
      </c>
      <c r="D101" s="0">
        <v>5.23</v>
      </c>
      <c r="E101" s="0">
        <v>8.13</v>
      </c>
      <c r="F101" s="0">
        <v>10.3</v>
      </c>
    </row>
    <row r="102">
      <c r="A102" s="0">
        <v>5048.5</v>
      </c>
      <c r="B102" s="0">
        <v>-51.1</v>
      </c>
      <c r="C102" s="0">
        <v>62.6</v>
      </c>
      <c r="D102" s="0">
        <v>5.06</v>
      </c>
      <c r="E102" s="0">
        <v>6.31</v>
      </c>
      <c r="F102" s="0">
        <v>6.83</v>
      </c>
    </row>
    <row r="103">
      <c r="A103" s="0">
        <v>5049</v>
      </c>
      <c r="B103" s="0">
        <v>-50.4</v>
      </c>
      <c r="C103" s="0">
        <v>63.8</v>
      </c>
      <c r="D103" s="0">
        <v>4.65</v>
      </c>
      <c r="E103" s="0">
        <v>4.2</v>
      </c>
      <c r="F103" s="0">
        <v>4.09</v>
      </c>
    </row>
    <row r="104">
      <c r="A104" s="0">
        <v>5049.5</v>
      </c>
      <c r="B104" s="0">
        <v>-49.7</v>
      </c>
      <c r="C104" s="0">
        <v>66.8</v>
      </c>
      <c r="D104" s="0">
        <v>3.82</v>
      </c>
      <c r="E104" s="0">
        <v>3.03</v>
      </c>
      <c r="F104" s="0">
        <v>2.78</v>
      </c>
    </row>
    <row r="105">
      <c r="A105" s="0">
        <v>5050</v>
      </c>
      <c r="B105" s="0">
        <v>-50.7</v>
      </c>
      <c r="C105" s="0">
        <v>65.4</v>
      </c>
      <c r="D105" s="0">
        <v>3.46</v>
      </c>
      <c r="E105" s="0">
        <v>2.47</v>
      </c>
      <c r="F105" s="0">
        <v>2.01</v>
      </c>
    </row>
    <row r="106">
      <c r="A106" s="0">
        <v>5050.5</v>
      </c>
      <c r="B106" s="0">
        <v>-51</v>
      </c>
      <c r="C106" s="0">
        <v>61.6</v>
      </c>
      <c r="D106" s="0">
        <v>3.41</v>
      </c>
      <c r="E106" s="0">
        <v>1.99</v>
      </c>
      <c r="F106" s="0">
        <v>1.61</v>
      </c>
    </row>
    <row r="107">
      <c r="A107" s="0">
        <v>5051</v>
      </c>
      <c r="B107" s="0">
        <v>-50.7</v>
      </c>
      <c r="C107" s="0">
        <v>62.7</v>
      </c>
      <c r="D107" s="0">
        <v>3.29</v>
      </c>
      <c r="E107" s="0">
        <v>1.86</v>
      </c>
      <c r="F107" s="0">
        <v>1.48</v>
      </c>
    </row>
    <row r="108">
      <c r="A108" s="0">
        <v>5051.5</v>
      </c>
      <c r="B108" s="0">
        <v>-50.7</v>
      </c>
      <c r="C108" s="0">
        <v>62.8</v>
      </c>
      <c r="D108" s="0">
        <v>3.37</v>
      </c>
      <c r="E108" s="0">
        <v>1.95</v>
      </c>
      <c r="F108" s="0">
        <v>1.3</v>
      </c>
    </row>
    <row r="109">
      <c r="A109" s="0">
        <v>5052</v>
      </c>
      <c r="B109" s="0">
        <v>-49.6</v>
      </c>
      <c r="C109" s="0">
        <v>61.1</v>
      </c>
      <c r="D109" s="0">
        <v>3.46</v>
      </c>
      <c r="E109" s="0">
        <v>1.76</v>
      </c>
      <c r="F109" s="0">
        <v>1.15</v>
      </c>
    </row>
    <row r="110">
      <c r="A110" s="0">
        <v>5052.5</v>
      </c>
      <c r="B110" s="0">
        <v>-48.9</v>
      </c>
      <c r="C110" s="0">
        <v>65.1</v>
      </c>
      <c r="D110" s="0">
        <v>3.29</v>
      </c>
      <c r="E110" s="0">
        <v>1.58</v>
      </c>
      <c r="F110" s="0">
        <v>1.14</v>
      </c>
    </row>
    <row r="111">
      <c r="A111" s="0">
        <v>5053</v>
      </c>
      <c r="B111" s="0">
        <v>-49.7</v>
      </c>
      <c r="C111" s="0">
        <v>68.2</v>
      </c>
      <c r="D111" s="0">
        <v>3.22</v>
      </c>
      <c r="E111" s="0">
        <v>1.6</v>
      </c>
      <c r="F111" s="0">
        <v>1.06</v>
      </c>
    </row>
    <row r="112">
      <c r="A112" s="0">
        <v>5053.5</v>
      </c>
      <c r="B112" s="0">
        <v>-49.8</v>
      </c>
      <c r="C112" s="0">
        <v>65.2</v>
      </c>
      <c r="D112" s="0">
        <v>3.15</v>
      </c>
      <c r="E112" s="0">
        <v>1.54</v>
      </c>
      <c r="F112" s="0">
        <v>1.02</v>
      </c>
    </row>
    <row r="113">
      <c r="A113" s="0">
        <v>5054</v>
      </c>
      <c r="B113" s="0">
        <v>-49.6</v>
      </c>
      <c r="C113" s="0">
        <v>64.1</v>
      </c>
      <c r="D113" s="0">
        <v>2.95</v>
      </c>
      <c r="E113" s="0">
        <v>1.5</v>
      </c>
      <c r="F113" s="0">
        <v>1.15</v>
      </c>
    </row>
    <row r="114">
      <c r="A114" s="0">
        <v>5054.5</v>
      </c>
      <c r="B114" s="0">
        <v>-50.8</v>
      </c>
      <c r="C114" s="0">
        <v>64.1</v>
      </c>
      <c r="D114" s="0">
        <v>3.09</v>
      </c>
      <c r="E114" s="0">
        <v>1.65</v>
      </c>
      <c r="F114" s="0">
        <v>1.21</v>
      </c>
    </row>
    <row r="115">
      <c r="A115" s="0">
        <v>5055</v>
      </c>
      <c r="B115" s="0">
        <v>-50.2</v>
      </c>
      <c r="C115" s="0">
        <v>62.2</v>
      </c>
      <c r="D115" s="0">
        <v>3.34</v>
      </c>
      <c r="E115" s="0">
        <v>1.71</v>
      </c>
      <c r="F115" s="0">
        <v>1.14</v>
      </c>
    </row>
    <row r="116">
      <c r="A116" s="0">
        <v>5055.5</v>
      </c>
      <c r="B116" s="0">
        <v>-47.9</v>
      </c>
      <c r="C116" s="0">
        <v>64.3</v>
      </c>
      <c r="D116" s="0">
        <v>3.21</v>
      </c>
      <c r="E116" s="0">
        <v>1.7</v>
      </c>
      <c r="F116" s="0">
        <v>1.18</v>
      </c>
    </row>
    <row r="117">
      <c r="A117" s="0">
        <v>5056</v>
      </c>
      <c r="B117" s="0">
        <v>-46.7</v>
      </c>
      <c r="C117" s="0">
        <v>68.7</v>
      </c>
      <c r="D117" s="0">
        <v>3.16</v>
      </c>
      <c r="E117" s="0">
        <v>1.73</v>
      </c>
      <c r="F117" s="0">
        <v>1.18</v>
      </c>
    </row>
    <row r="118">
      <c r="A118" s="0">
        <v>5056.5</v>
      </c>
      <c r="B118" s="0">
        <v>-45</v>
      </c>
      <c r="C118" s="0">
        <v>71.9</v>
      </c>
      <c r="D118" s="0">
        <v>3.16</v>
      </c>
      <c r="E118" s="0">
        <v>1.61</v>
      </c>
      <c r="F118" s="0">
        <v>1.12</v>
      </c>
    </row>
    <row r="119">
      <c r="A119" s="0">
        <v>5057</v>
      </c>
      <c r="B119" s="0">
        <v>-41.5</v>
      </c>
      <c r="C119" s="0">
        <v>78.1</v>
      </c>
      <c r="D119" s="0">
        <v>2.8</v>
      </c>
      <c r="E119" s="0">
        <v>1.57</v>
      </c>
      <c r="F119" s="0">
        <v>1.23</v>
      </c>
    </row>
    <row r="120">
      <c r="A120" s="0">
        <v>5057.5</v>
      </c>
      <c r="B120" s="0">
        <v>-38</v>
      </c>
      <c r="C120" s="0">
        <v>84.1</v>
      </c>
      <c r="D120" s="0">
        <v>2.51</v>
      </c>
      <c r="E120" s="0">
        <v>1.76</v>
      </c>
      <c r="F120" s="0">
        <v>1.45</v>
      </c>
    </row>
    <row r="121">
      <c r="A121" s="0">
        <v>5058</v>
      </c>
      <c r="B121" s="0">
        <v>-33.5</v>
      </c>
      <c r="C121" s="0">
        <v>87.1</v>
      </c>
      <c r="D121" s="0">
        <v>2.48</v>
      </c>
      <c r="E121" s="0">
        <v>1.86</v>
      </c>
      <c r="F121" s="0">
        <v>1.66</v>
      </c>
    </row>
    <row r="122">
      <c r="A122" s="0">
        <v>5058.5</v>
      </c>
      <c r="B122" s="0">
        <v>-27.7</v>
      </c>
      <c r="C122" s="0">
        <v>94.7</v>
      </c>
      <c r="D122" s="0">
        <v>2.36</v>
      </c>
      <c r="E122" s="0">
        <v>1.95</v>
      </c>
      <c r="F122" s="0">
        <v>1.97</v>
      </c>
    </row>
    <row r="123">
      <c r="A123" s="0">
        <v>5059</v>
      </c>
      <c r="B123" s="0">
        <v>-23.2</v>
      </c>
      <c r="C123" s="0">
        <v>103.4</v>
      </c>
      <c r="D123" s="0">
        <v>2.28</v>
      </c>
      <c r="E123" s="0">
        <v>2.25</v>
      </c>
      <c r="F123" s="0">
        <v>2.14</v>
      </c>
    </row>
    <row r="124">
      <c r="A124" s="0">
        <v>5059.5</v>
      </c>
      <c r="B124" s="0">
        <v>-19.4</v>
      </c>
      <c r="C124" s="0">
        <v>106.5</v>
      </c>
      <c r="D124" s="0">
        <v>2.27</v>
      </c>
      <c r="E124" s="0">
        <v>2.27</v>
      </c>
      <c r="F124" s="0">
        <v>2.08</v>
      </c>
    </row>
    <row r="125">
      <c r="A125" s="0">
        <v>5060</v>
      </c>
      <c r="B125" s="0">
        <v>-16.4</v>
      </c>
      <c r="C125" s="0">
        <v>111.4</v>
      </c>
      <c r="D125" s="0">
        <v>2.11</v>
      </c>
      <c r="E125" s="0">
        <v>2.04</v>
      </c>
      <c r="F125" s="0">
        <v>2.19</v>
      </c>
    </row>
    <row r="126">
      <c r="A126" s="0">
        <v>5060.5</v>
      </c>
      <c r="B126" s="0">
        <v>-16.1</v>
      </c>
      <c r="C126" s="0">
        <v>117.1</v>
      </c>
      <c r="D126" s="0">
        <v>2</v>
      </c>
      <c r="E126" s="0">
        <v>2.07</v>
      </c>
      <c r="F126" s="0">
        <v>2.25</v>
      </c>
    </row>
    <row r="127">
      <c r="A127" s="0">
        <v>5061</v>
      </c>
      <c r="B127" s="0">
        <v>-16.2</v>
      </c>
      <c r="C127" s="0">
        <v>115.5</v>
      </c>
      <c r="D127" s="0">
        <v>1.99</v>
      </c>
      <c r="E127" s="0">
        <v>2.12</v>
      </c>
      <c r="F127" s="0">
        <v>2.18</v>
      </c>
    </row>
    <row r="128">
      <c r="A128" s="0">
        <v>5061.5</v>
      </c>
      <c r="B128" s="0">
        <v>-15.4</v>
      </c>
      <c r="C128" s="0">
        <v>113.1</v>
      </c>
      <c r="D128" s="0">
        <v>1.89</v>
      </c>
      <c r="E128" s="0">
        <v>2.08</v>
      </c>
      <c r="F128" s="0">
        <v>2.41</v>
      </c>
    </row>
    <row r="129">
      <c r="A129" s="0">
        <v>5062</v>
      </c>
      <c r="B129" s="0">
        <v>-16</v>
      </c>
      <c r="C129" s="0">
        <v>113.6</v>
      </c>
      <c r="D129" s="0">
        <v>1.92</v>
      </c>
      <c r="E129" s="0">
        <v>2.24</v>
      </c>
      <c r="F129" s="0">
        <v>2.66</v>
      </c>
    </row>
    <row r="130">
      <c r="A130" s="0">
        <v>5062.5</v>
      </c>
      <c r="B130" s="0">
        <v>-16.2</v>
      </c>
      <c r="C130" s="0">
        <v>112.4</v>
      </c>
      <c r="D130" s="0">
        <v>2.13</v>
      </c>
      <c r="E130" s="0">
        <v>2.36</v>
      </c>
      <c r="F130" s="0">
        <v>2.47</v>
      </c>
    </row>
    <row r="131">
      <c r="A131" s="0">
        <v>5063</v>
      </c>
      <c r="B131" s="0">
        <v>-14.5</v>
      </c>
      <c r="C131" s="0">
        <v>113</v>
      </c>
      <c r="D131" s="0">
        <v>2.11</v>
      </c>
      <c r="E131" s="0">
        <v>2.28</v>
      </c>
      <c r="F131" s="0">
        <v>2.38</v>
      </c>
    </row>
    <row r="132">
      <c r="A132" s="0">
        <v>5063.5</v>
      </c>
      <c r="B132" s="0">
        <v>-14</v>
      </c>
      <c r="C132" s="0">
        <v>116.4</v>
      </c>
      <c r="D132" s="0">
        <v>2.01</v>
      </c>
      <c r="E132" s="0">
        <v>2.27</v>
      </c>
      <c r="F132" s="0">
        <v>2.41</v>
      </c>
    </row>
    <row r="133">
      <c r="A133" s="0">
        <v>5064</v>
      </c>
      <c r="B133" s="0">
        <v>-14.7</v>
      </c>
      <c r="C133" s="0">
        <v>116.6</v>
      </c>
      <c r="D133" s="0">
        <v>2.06</v>
      </c>
      <c r="E133" s="0">
        <v>2.15</v>
      </c>
      <c r="F133" s="0">
        <v>2.24</v>
      </c>
    </row>
    <row r="134">
      <c r="A134" s="0">
        <v>5064.5</v>
      </c>
      <c r="B134" s="0">
        <v>-14.6</v>
      </c>
      <c r="C134" s="0">
        <v>116.8</v>
      </c>
      <c r="D134" s="0">
        <v>1.97</v>
      </c>
      <c r="E134" s="0">
        <v>1.99</v>
      </c>
      <c r="F134" s="0">
        <v>2.24</v>
      </c>
    </row>
    <row r="135">
      <c r="A135" s="0">
        <v>5065</v>
      </c>
      <c r="B135" s="0">
        <v>-15.2</v>
      </c>
      <c r="C135" s="0">
        <v>117.2</v>
      </c>
      <c r="D135" s="0">
        <v>1.85</v>
      </c>
      <c r="E135" s="0">
        <v>2.14</v>
      </c>
      <c r="F135" s="0">
        <v>2.44</v>
      </c>
    </row>
    <row r="136">
      <c r="A136" s="0">
        <v>5065.5</v>
      </c>
      <c r="B136" s="0">
        <v>-16.1</v>
      </c>
      <c r="C136" s="0">
        <v>112.9</v>
      </c>
      <c r="D136" s="0">
        <v>1.95</v>
      </c>
      <c r="E136" s="0">
        <v>2.28</v>
      </c>
      <c r="F136" s="0">
        <v>2.49</v>
      </c>
    </row>
    <row r="137">
      <c r="A137" s="0">
        <v>5066</v>
      </c>
      <c r="B137" s="0">
        <v>-15.5</v>
      </c>
      <c r="C137" s="0">
        <v>111.2</v>
      </c>
      <c r="D137" s="0">
        <v>2.05</v>
      </c>
      <c r="E137" s="0">
        <v>2.21</v>
      </c>
      <c r="F137" s="0">
        <v>2.56</v>
      </c>
    </row>
    <row r="138">
      <c r="A138" s="0">
        <v>5066.5</v>
      </c>
      <c r="B138" s="0">
        <v>-15.1</v>
      </c>
      <c r="C138" s="0">
        <v>114.8</v>
      </c>
      <c r="D138" s="0">
        <v>2.07</v>
      </c>
      <c r="E138" s="0">
        <v>2.35</v>
      </c>
      <c r="F138" s="0">
        <v>2.57</v>
      </c>
    </row>
    <row r="139">
      <c r="A139" s="0">
        <v>5067</v>
      </c>
      <c r="B139" s="0">
        <v>-14.8</v>
      </c>
      <c r="C139" s="0">
        <v>114.8</v>
      </c>
      <c r="D139" s="0">
        <v>2.14</v>
      </c>
      <c r="E139" s="0">
        <v>2.42</v>
      </c>
      <c r="F139" s="0">
        <v>2.32</v>
      </c>
    </row>
    <row r="140">
      <c r="A140" s="0">
        <v>5067.5</v>
      </c>
      <c r="B140" s="0">
        <v>-13.9</v>
      </c>
      <c r="C140" s="0">
        <v>114.5</v>
      </c>
      <c r="D140" s="0">
        <v>2.08</v>
      </c>
      <c r="E140" s="0">
        <v>2.14</v>
      </c>
      <c r="F140" s="0">
        <v>2.29</v>
      </c>
    </row>
    <row r="141">
      <c r="A141" s="0">
        <v>5068</v>
      </c>
      <c r="B141" s="0">
        <v>-14.5</v>
      </c>
      <c r="C141" s="0">
        <v>117.9</v>
      </c>
      <c r="D141" s="0">
        <v>1.98</v>
      </c>
      <c r="E141" s="0">
        <v>2.1</v>
      </c>
      <c r="F141" s="0">
        <v>2.45</v>
      </c>
    </row>
    <row r="142">
      <c r="A142" s="0">
        <v>5068.5</v>
      </c>
      <c r="B142" s="0">
        <v>-15.9</v>
      </c>
      <c r="C142" s="0">
        <v>116.2</v>
      </c>
      <c r="D142" s="0">
        <v>2.06</v>
      </c>
      <c r="E142" s="0">
        <v>2.29</v>
      </c>
      <c r="F142" s="0">
        <v>2.44</v>
      </c>
    </row>
    <row r="143">
      <c r="A143" s="0">
        <v>5069</v>
      </c>
      <c r="B143" s="0">
        <v>-15.7</v>
      </c>
      <c r="C143" s="0">
        <v>111</v>
      </c>
      <c r="D143" s="0">
        <v>2.14</v>
      </c>
      <c r="E143" s="0">
        <v>2.4</v>
      </c>
      <c r="F143" s="0">
        <v>2.69</v>
      </c>
    </row>
    <row r="144">
      <c r="A144" s="0">
        <v>5069.5</v>
      </c>
      <c r="B144" s="0">
        <v>-16</v>
      </c>
      <c r="C144" s="0">
        <v>109.2</v>
      </c>
      <c r="D144" s="0">
        <v>2.31</v>
      </c>
      <c r="E144" s="0">
        <v>2.76</v>
      </c>
      <c r="F144" s="0">
        <v>3.32</v>
      </c>
    </row>
    <row r="145">
      <c r="A145" s="0">
        <v>5070</v>
      </c>
      <c r="B145" s="0">
        <v>-17.1</v>
      </c>
      <c r="C145" s="0">
        <v>106.2</v>
      </c>
      <c r="D145" s="0">
        <v>2.96</v>
      </c>
      <c r="E145" s="0">
        <v>3.47</v>
      </c>
      <c r="F145" s="0">
        <v>3.74</v>
      </c>
    </row>
    <row r="146">
      <c r="A146" s="0">
        <v>5070.5</v>
      </c>
      <c r="B146" s="0">
        <v>-16.7</v>
      </c>
      <c r="C146" s="0">
        <v>101</v>
      </c>
      <c r="D146" s="0">
        <v>3.93</v>
      </c>
      <c r="E146" s="0">
        <v>4.41</v>
      </c>
      <c r="F146" s="0">
        <v>4.6</v>
      </c>
    </row>
    <row r="147">
      <c r="A147" s="0">
        <v>5071</v>
      </c>
      <c r="B147" s="0">
        <v>-17</v>
      </c>
      <c r="C147" s="0">
        <v>96</v>
      </c>
      <c r="D147" s="0">
        <v>5.42</v>
      </c>
      <c r="E147" s="0">
        <v>6.68</v>
      </c>
      <c r="F147" s="0">
        <v>7.43</v>
      </c>
    </row>
    <row r="148">
      <c r="A148" s="0">
        <v>5071.5</v>
      </c>
      <c r="B148" s="0">
        <v>-19.9</v>
      </c>
      <c r="C148" s="0">
        <v>85</v>
      </c>
      <c r="D148" s="0">
        <v>9.51</v>
      </c>
      <c r="E148" s="0">
        <v>12.2</v>
      </c>
      <c r="F148" s="0">
        <v>13.7</v>
      </c>
    </row>
    <row r="149">
      <c r="A149" s="0">
        <v>5072</v>
      </c>
      <c r="B149" s="0">
        <v>-22.6</v>
      </c>
      <c r="C149" s="0">
        <v>69.6</v>
      </c>
      <c r="D149" s="0">
        <v>18.7</v>
      </c>
      <c r="E149" s="0">
        <v>23.9</v>
      </c>
      <c r="F149" s="0">
        <v>29.3</v>
      </c>
    </row>
    <row r="150">
      <c r="A150" s="0">
        <v>5072.5</v>
      </c>
      <c r="B150" s="0">
        <v>-25.1</v>
      </c>
      <c r="C150" s="0">
        <v>56</v>
      </c>
      <c r="D150" s="0">
        <v>34.5</v>
      </c>
      <c r="E150" s="0">
        <v>52.7</v>
      </c>
      <c r="F150" s="0">
        <v>69.3</v>
      </c>
    </row>
    <row r="151">
      <c r="A151" s="0">
        <v>5073</v>
      </c>
      <c r="B151" s="0">
        <v>-27.9</v>
      </c>
      <c r="C151" s="0">
        <v>41.5</v>
      </c>
      <c r="D151" s="0">
        <v>62.1</v>
      </c>
      <c r="E151" s="0">
        <v>108</v>
      </c>
      <c r="F151" s="0">
        <v>134</v>
      </c>
    </row>
    <row r="152">
      <c r="A152" s="0">
        <v>5073.5</v>
      </c>
      <c r="B152" s="0">
        <v>-29.1</v>
      </c>
      <c r="C152" s="0">
        <v>30.2</v>
      </c>
      <c r="D152" s="0">
        <v>97.8</v>
      </c>
      <c r="E152" s="0">
        <v>159</v>
      </c>
      <c r="F152" s="0">
        <v>205</v>
      </c>
    </row>
    <row r="153">
      <c r="A153" s="0">
        <v>5074</v>
      </c>
      <c r="B153" s="0">
        <v>-29.6</v>
      </c>
      <c r="C153" s="0">
        <v>28.7</v>
      </c>
      <c r="D153" s="0">
        <v>121</v>
      </c>
      <c r="E153" s="0">
        <v>199</v>
      </c>
      <c r="F153" s="0">
        <v>259</v>
      </c>
    </row>
    <row r="154">
      <c r="A154" s="0">
        <v>5074.5</v>
      </c>
      <c r="B154" s="0">
        <v>-30.9</v>
      </c>
      <c r="C154" s="0">
        <v>28.2</v>
      </c>
      <c r="D154" s="0">
        <v>133</v>
      </c>
      <c r="E154" s="0">
        <v>222</v>
      </c>
      <c r="F154" s="0">
        <v>250</v>
      </c>
    </row>
    <row r="155">
      <c r="A155" s="0">
        <v>5075</v>
      </c>
      <c r="B155" s="0">
        <v>-32.1</v>
      </c>
      <c r="C155" s="0">
        <v>25.4</v>
      </c>
      <c r="D155" s="0">
        <v>124</v>
      </c>
      <c r="E155" s="0">
        <v>184</v>
      </c>
      <c r="F155" s="0">
        <v>211</v>
      </c>
    </row>
    <row r="156">
      <c r="A156" s="0">
        <v>5075.5</v>
      </c>
      <c r="B156" s="0">
        <v>-34.9</v>
      </c>
      <c r="C156" s="0">
        <v>27.3</v>
      </c>
      <c r="D156" s="0">
        <v>96.9</v>
      </c>
      <c r="E156" s="0">
        <v>132</v>
      </c>
      <c r="F156" s="0">
        <v>167</v>
      </c>
    </row>
    <row r="157">
      <c r="A157" s="0">
        <v>5076</v>
      </c>
      <c r="B157" s="0">
        <v>-40.5</v>
      </c>
      <c r="C157" s="0">
        <v>28.4</v>
      </c>
      <c r="D157" s="0">
        <v>70.9</v>
      </c>
      <c r="E157" s="0">
        <v>89.7</v>
      </c>
      <c r="F157" s="0">
        <v>98.6</v>
      </c>
    </row>
    <row r="158">
      <c r="A158" s="0">
        <v>5076.5</v>
      </c>
      <c r="B158" s="0">
        <v>-46.2</v>
      </c>
      <c r="C158" s="0">
        <v>25.3</v>
      </c>
      <c r="D158" s="0">
        <v>45.6</v>
      </c>
      <c r="E158" s="0">
        <v>47.4</v>
      </c>
      <c r="F158" s="0">
        <v>44.8</v>
      </c>
    </row>
    <row r="159">
      <c r="A159" s="0">
        <v>5077</v>
      </c>
      <c r="B159" s="0">
        <v>-52</v>
      </c>
      <c r="C159" s="0">
        <v>26.4</v>
      </c>
      <c r="D159" s="0">
        <v>25.1</v>
      </c>
      <c r="E159" s="0">
        <v>21.4</v>
      </c>
      <c r="F159" s="0">
        <v>19.2</v>
      </c>
    </row>
    <row r="160">
      <c r="A160" s="0">
        <v>5077.5</v>
      </c>
      <c r="B160" s="0">
        <v>-59.2</v>
      </c>
      <c r="C160" s="0">
        <v>30</v>
      </c>
      <c r="D160" s="0">
        <v>15</v>
      </c>
      <c r="E160" s="0">
        <v>10</v>
      </c>
      <c r="F160" s="0">
        <v>7.31</v>
      </c>
    </row>
    <row r="161">
      <c r="A161" s="0">
        <v>5078</v>
      </c>
      <c r="B161" s="0">
        <v>-64.1</v>
      </c>
      <c r="C161" s="0">
        <v>31.9</v>
      </c>
      <c r="D161" s="0">
        <v>9.8</v>
      </c>
      <c r="E161" s="0">
        <v>4.87</v>
      </c>
      <c r="F161" s="0">
        <v>2.92</v>
      </c>
    </row>
    <row r="162">
      <c r="A162" s="0">
        <v>5078.5</v>
      </c>
      <c r="B162" s="0">
        <v>-66.8</v>
      </c>
      <c r="C162" s="0">
        <v>35.8</v>
      </c>
      <c r="D162" s="0">
        <v>6.38</v>
      </c>
      <c r="E162" s="0">
        <v>2.82</v>
      </c>
      <c r="F162" s="0">
        <v>1.65</v>
      </c>
    </row>
    <row r="163">
      <c r="A163" s="0">
        <v>5079</v>
      </c>
      <c r="B163" s="0">
        <v>-70.1</v>
      </c>
      <c r="C163" s="0">
        <v>38</v>
      </c>
      <c r="D163" s="0">
        <v>4.9</v>
      </c>
      <c r="E163" s="0">
        <v>2.07</v>
      </c>
      <c r="F163" s="0">
        <v>1.17</v>
      </c>
    </row>
    <row r="164">
      <c r="A164" s="0">
        <v>5079.5</v>
      </c>
      <c r="B164" s="0">
        <v>-72.5</v>
      </c>
      <c r="C164" s="0">
        <v>36</v>
      </c>
      <c r="D164" s="0">
        <v>4.42</v>
      </c>
      <c r="E164" s="0">
        <v>1.63</v>
      </c>
      <c r="F164" s="0">
        <v>0.928</v>
      </c>
    </row>
    <row r="165">
      <c r="A165" s="0">
        <v>5080</v>
      </c>
      <c r="B165" s="0">
        <v>-73.3</v>
      </c>
      <c r="C165" s="0">
        <v>36</v>
      </c>
      <c r="D165" s="0">
        <v>3.96</v>
      </c>
      <c r="E165" s="0">
        <v>1.49</v>
      </c>
      <c r="F165" s="0">
        <v>0.885</v>
      </c>
    </row>
    <row r="166">
      <c r="A166" s="0">
        <v>5080.5</v>
      </c>
      <c r="B166" s="0">
        <v>-74.3</v>
      </c>
      <c r="C166" s="0">
        <v>35.2</v>
      </c>
      <c r="D166" s="0">
        <v>3.83</v>
      </c>
      <c r="E166" s="0">
        <v>1.6</v>
      </c>
      <c r="F166" s="0">
        <v>0.87</v>
      </c>
    </row>
    <row r="167">
      <c r="A167" s="0">
        <v>5081</v>
      </c>
      <c r="B167" s="0">
        <v>-74.3</v>
      </c>
      <c r="C167" s="0">
        <v>31.8</v>
      </c>
      <c r="D167" s="0">
        <v>4.06</v>
      </c>
      <c r="E167" s="0">
        <v>1.55</v>
      </c>
      <c r="F167" s="0">
        <v>0.812</v>
      </c>
    </row>
    <row r="168">
      <c r="A168" s="0">
        <v>5081.5</v>
      </c>
      <c r="B168" s="0">
        <v>-73.4</v>
      </c>
      <c r="C168" s="0">
        <v>34.4</v>
      </c>
      <c r="D168" s="0">
        <v>4.05</v>
      </c>
      <c r="E168" s="0">
        <v>1.43</v>
      </c>
      <c r="F168" s="0">
        <v>0.795</v>
      </c>
    </row>
    <row r="169">
      <c r="A169" s="0">
        <v>5082</v>
      </c>
      <c r="B169" s="0">
        <v>-73.4</v>
      </c>
      <c r="C169" s="0">
        <v>38.7</v>
      </c>
      <c r="D169" s="0">
        <v>3.95</v>
      </c>
      <c r="E169" s="0">
        <v>1.47</v>
      </c>
      <c r="F169" s="0">
        <v>0.742</v>
      </c>
    </row>
    <row r="170">
      <c r="A170" s="0">
        <v>5082.5</v>
      </c>
      <c r="B170" s="0">
        <v>-73.4</v>
      </c>
      <c r="C170" s="0">
        <v>37.3</v>
      </c>
      <c r="D170" s="0">
        <v>3.89</v>
      </c>
      <c r="E170" s="0">
        <v>1.4</v>
      </c>
      <c r="F170" s="0">
        <v>0.681</v>
      </c>
    </row>
    <row r="171">
      <c r="A171" s="0">
        <v>5083</v>
      </c>
      <c r="B171" s="0">
        <v>-73.2</v>
      </c>
      <c r="C171" s="0">
        <v>37</v>
      </c>
      <c r="D171" s="0">
        <v>3.62</v>
      </c>
      <c r="E171" s="0">
        <v>1.27</v>
      </c>
      <c r="F171" s="0">
        <v>0.731</v>
      </c>
    </row>
    <row r="172">
      <c r="A172" s="0">
        <v>5083.5</v>
      </c>
      <c r="B172" s="0">
        <v>-74.6</v>
      </c>
      <c r="C172" s="0">
        <v>38.3</v>
      </c>
      <c r="D172" s="0">
        <v>3.58</v>
      </c>
      <c r="E172" s="0">
        <v>1.34</v>
      </c>
      <c r="F172" s="0">
        <v>0.778</v>
      </c>
    </row>
    <row r="173">
      <c r="A173" s="0">
        <v>5084</v>
      </c>
      <c r="B173" s="0">
        <v>-75.3</v>
      </c>
      <c r="C173" s="0">
        <v>34.6</v>
      </c>
      <c r="D173" s="0">
        <v>3.81</v>
      </c>
      <c r="E173" s="0">
        <v>1.44</v>
      </c>
      <c r="F173" s="0">
        <v>0.751</v>
      </c>
    </row>
    <row r="174">
      <c r="A174" s="0">
        <v>5084.5</v>
      </c>
      <c r="B174" s="0">
        <v>-74</v>
      </c>
      <c r="C174" s="0">
        <v>32.5</v>
      </c>
      <c r="D174" s="0">
        <v>3.78</v>
      </c>
      <c r="E174" s="0">
        <v>1.44</v>
      </c>
      <c r="F174" s="0">
        <v>0.794</v>
      </c>
    </row>
    <row r="175">
      <c r="A175" s="0">
        <v>5085</v>
      </c>
      <c r="B175" s="0">
        <v>-74</v>
      </c>
      <c r="C175" s="0">
        <v>34.9</v>
      </c>
      <c r="D175" s="0">
        <v>3.86</v>
      </c>
      <c r="E175" s="0">
        <v>1.5</v>
      </c>
      <c r="F175" s="0">
        <v>0.816</v>
      </c>
    </row>
    <row r="176">
      <c r="A176" s="0">
        <v>5085.5</v>
      </c>
      <c r="B176" s="0">
        <v>-74</v>
      </c>
      <c r="C176" s="0">
        <v>35.8</v>
      </c>
      <c r="D176" s="0">
        <v>4.14</v>
      </c>
      <c r="E176" s="0">
        <v>1.46</v>
      </c>
      <c r="F176" s="0">
        <v>0.721</v>
      </c>
    </row>
    <row r="177">
      <c r="A177" s="0">
        <v>5086</v>
      </c>
      <c r="B177" s="0">
        <v>-72.9</v>
      </c>
      <c r="C177" s="0">
        <v>37.5</v>
      </c>
      <c r="D177" s="0">
        <v>3.9</v>
      </c>
      <c r="E177" s="0">
        <v>1.34</v>
      </c>
      <c r="F177" s="0">
        <v>0.693</v>
      </c>
    </row>
    <row r="178">
      <c r="A178" s="0">
        <v>5086.5</v>
      </c>
      <c r="B178" s="0">
        <v>-73.2</v>
      </c>
      <c r="C178" s="0">
        <v>39.3</v>
      </c>
      <c r="D178" s="0">
        <v>3.58</v>
      </c>
      <c r="E178" s="0">
        <v>1.35</v>
      </c>
      <c r="F178" s="0">
        <v>0.731</v>
      </c>
    </row>
    <row r="179">
      <c r="A179" s="0">
        <v>5087</v>
      </c>
      <c r="B179" s="0">
        <v>-74.6</v>
      </c>
      <c r="C179" s="0">
        <v>36.6</v>
      </c>
      <c r="D179" s="0">
        <v>3.69</v>
      </c>
      <c r="E179" s="0">
        <v>1.34</v>
      </c>
      <c r="F179" s="0">
        <v>0.729</v>
      </c>
    </row>
    <row r="180">
      <c r="A180" s="0">
        <v>5087.5</v>
      </c>
      <c r="B180" s="0">
        <v>-74.6</v>
      </c>
      <c r="C180" s="0">
        <v>34.9</v>
      </c>
      <c r="D180" s="0">
        <v>3.71</v>
      </c>
      <c r="E180" s="0">
        <v>1.32</v>
      </c>
      <c r="F180" s="0">
        <v>0.764</v>
      </c>
    </row>
    <row r="181">
      <c r="A181" s="0">
        <v>5088</v>
      </c>
      <c r="B181" s="0">
        <v>-74.6</v>
      </c>
      <c r="C181" s="0">
        <v>35.5</v>
      </c>
      <c r="D181" s="0">
        <v>3.68</v>
      </c>
      <c r="E181" s="0">
        <v>1.48</v>
      </c>
      <c r="F181" s="0">
        <v>0.812</v>
      </c>
    </row>
    <row r="182">
      <c r="A182" s="0">
        <v>5088.5</v>
      </c>
      <c r="B182" s="0">
        <v>-74.5</v>
      </c>
      <c r="C182" s="0">
        <v>32.9</v>
      </c>
      <c r="D182" s="0">
        <v>3.95</v>
      </c>
      <c r="E182" s="0">
        <v>1.55</v>
      </c>
      <c r="F182" s="0">
        <v>0.776</v>
      </c>
    </row>
    <row r="183">
      <c r="A183" s="0">
        <v>5089</v>
      </c>
      <c r="B183" s="0">
        <v>-73.4</v>
      </c>
      <c r="C183" s="0">
        <v>33.7</v>
      </c>
      <c r="D183" s="0">
        <v>4.03</v>
      </c>
      <c r="E183" s="0">
        <v>1.4</v>
      </c>
      <c r="F183" s="0">
        <v>0.756</v>
      </c>
    </row>
    <row r="184">
      <c r="A184" s="0">
        <v>5089.5</v>
      </c>
      <c r="B184" s="0">
        <v>-73.2</v>
      </c>
      <c r="C184" s="0">
        <v>39</v>
      </c>
      <c r="D184" s="0">
        <v>3.88</v>
      </c>
      <c r="E184" s="0">
        <v>1.39</v>
      </c>
      <c r="F184" s="0">
        <v>0.739</v>
      </c>
    </row>
    <row r="185">
      <c r="A185" s="0">
        <v>5090</v>
      </c>
      <c r="B185" s="0">
        <v>-73.7</v>
      </c>
      <c r="C185" s="0">
        <v>38.7</v>
      </c>
      <c r="D185" s="0">
        <v>3.83</v>
      </c>
      <c r="E185" s="0">
        <v>1.4</v>
      </c>
      <c r="F185" s="0">
        <v>0.681</v>
      </c>
    </row>
    <row r="186">
      <c r="A186" s="0">
        <v>5090.5</v>
      </c>
      <c r="B186" s="0">
        <v>-73.5</v>
      </c>
      <c r="C186" s="0">
        <v>36.2</v>
      </c>
      <c r="D186" s="0">
        <v>3.64</v>
      </c>
      <c r="E186" s="0">
        <v>1.28</v>
      </c>
      <c r="F186" s="0">
        <v>0.713</v>
      </c>
    </row>
    <row r="187">
      <c r="A187" s="0">
        <v>5091</v>
      </c>
      <c r="B187" s="0">
        <v>-74.4</v>
      </c>
      <c r="C187" s="0">
        <v>37.2</v>
      </c>
      <c r="D187" s="0">
        <v>3.53</v>
      </c>
      <c r="E187" s="0">
        <v>1.32</v>
      </c>
      <c r="F187" s="0">
        <v>0.796</v>
      </c>
    </row>
    <row r="188">
      <c r="A188" s="0">
        <v>5091.5</v>
      </c>
      <c r="B188" s="0">
        <v>-75.5</v>
      </c>
      <c r="C188" s="0">
        <v>35.1</v>
      </c>
      <c r="D188" s="0">
        <v>3.81</v>
      </c>
      <c r="E188" s="0">
        <v>1.46</v>
      </c>
      <c r="F188" s="0">
        <v>0.774</v>
      </c>
    </row>
    <row r="189">
      <c r="A189" s="0">
        <v>5092</v>
      </c>
      <c r="B189" s="0">
        <v>-74.3</v>
      </c>
      <c r="C189" s="0">
        <v>32.3</v>
      </c>
      <c r="D189" s="0">
        <v>3.9</v>
      </c>
      <c r="E189" s="0">
        <v>1.47</v>
      </c>
      <c r="F189" s="0">
        <v>0.769</v>
      </c>
    </row>
    <row r="190">
      <c r="A190" s="0">
        <v>5092.5</v>
      </c>
      <c r="B190" s="0">
        <v>-73.4</v>
      </c>
      <c r="C190" s="0">
        <v>34.8</v>
      </c>
      <c r="D190" s="0">
        <v>3.83</v>
      </c>
      <c r="E190" s="0">
        <v>1.47</v>
      </c>
      <c r="F190" s="0">
        <v>0.805</v>
      </c>
    </row>
    <row r="191">
      <c r="A191" s="0">
        <v>5093</v>
      </c>
      <c r="B191" s="0">
        <v>-73.9</v>
      </c>
      <c r="C191" s="0">
        <v>36.8</v>
      </c>
      <c r="D191" s="0">
        <v>4.04</v>
      </c>
      <c r="E191" s="0">
        <v>1.46</v>
      </c>
      <c r="F191" s="0">
        <v>0.733</v>
      </c>
    </row>
    <row r="192">
      <c r="A192" s="0">
        <v>5093.5</v>
      </c>
      <c r="B192" s="0">
        <v>-73.2</v>
      </c>
      <c r="C192" s="0">
        <v>37.5</v>
      </c>
      <c r="D192" s="0">
        <v>3.95</v>
      </c>
      <c r="E192" s="0">
        <v>1.33</v>
      </c>
      <c r="F192" s="0">
        <v>0.679</v>
      </c>
    </row>
    <row r="193">
      <c r="A193" s="0">
        <v>5094</v>
      </c>
      <c r="B193" s="0">
        <v>-73.1</v>
      </c>
      <c r="C193" s="0">
        <v>39.2</v>
      </c>
      <c r="D193" s="0">
        <v>3.56</v>
      </c>
      <c r="E193" s="0">
        <v>1.32</v>
      </c>
      <c r="F193" s="0">
        <v>0.727</v>
      </c>
    </row>
    <row r="194">
      <c r="A194" s="0">
        <v>5094.5</v>
      </c>
      <c r="B194" s="0">
        <v>-74.5</v>
      </c>
      <c r="C194" s="0">
        <v>37</v>
      </c>
      <c r="D194" s="0">
        <v>3.6</v>
      </c>
      <c r="E194" s="0">
        <v>1.37</v>
      </c>
      <c r="F194" s="0">
        <v>0.751</v>
      </c>
    </row>
    <row r="195">
      <c r="A195" s="0">
        <v>5095</v>
      </c>
      <c r="B195" s="0">
        <v>-74.8</v>
      </c>
      <c r="C195" s="0">
        <v>33.9</v>
      </c>
      <c r="D195" s="0">
        <v>3.77</v>
      </c>
      <c r="E195" s="0">
        <v>1.34</v>
      </c>
      <c r="F195" s="0">
        <v>0.767</v>
      </c>
    </row>
    <row r="196">
      <c r="A196" s="0">
        <v>5095.5</v>
      </c>
      <c r="B196" s="0">
        <v>-74.2</v>
      </c>
      <c r="C196" s="0">
        <v>35.3</v>
      </c>
      <c r="D196" s="0">
        <v>3.73</v>
      </c>
      <c r="E196" s="0">
        <v>1.45</v>
      </c>
      <c r="F196" s="0">
        <v>0.814</v>
      </c>
    </row>
    <row r="197">
      <c r="A197" s="0">
        <v>5096</v>
      </c>
      <c r="B197" s="0">
        <v>-74</v>
      </c>
      <c r="C197" s="0">
        <v>34.9</v>
      </c>
      <c r="D197" s="0">
        <v>3.9</v>
      </c>
      <c r="E197" s="0">
        <v>1.57</v>
      </c>
      <c r="F197" s="0">
        <v>0.784</v>
      </c>
    </row>
    <row r="198">
      <c r="A198" s="0">
        <v>5096.5</v>
      </c>
      <c r="B198" s="0">
        <v>-72.7</v>
      </c>
      <c r="C198" s="0">
        <v>34.6</v>
      </c>
      <c r="D198" s="0">
        <v>4.02</v>
      </c>
      <c r="E198" s="0">
        <v>1.43</v>
      </c>
      <c r="F198" s="0">
        <v>0.745</v>
      </c>
    </row>
    <row r="199">
      <c r="A199" s="0">
        <v>5097</v>
      </c>
      <c r="B199" s="0">
        <v>-71.6</v>
      </c>
      <c r="C199" s="0">
        <v>40.3</v>
      </c>
      <c r="D199" s="0">
        <v>3.8</v>
      </c>
      <c r="E199" s="0">
        <v>1.35</v>
      </c>
      <c r="F199" s="0">
        <v>0.756</v>
      </c>
    </row>
    <row r="200">
      <c r="A200" s="0">
        <v>5097.5</v>
      </c>
      <c r="B200" s="0">
        <v>-71.3</v>
      </c>
      <c r="C200" s="0">
        <v>43.2</v>
      </c>
      <c r="D200" s="0">
        <v>3.66</v>
      </c>
      <c r="E200" s="0">
        <v>1.41</v>
      </c>
      <c r="F200" s="0">
        <v>0.732</v>
      </c>
    </row>
    <row r="201">
      <c r="A201" s="0">
        <v>5098</v>
      </c>
      <c r="B201" s="0">
        <v>-69.4</v>
      </c>
      <c r="C201" s="0">
        <v>42</v>
      </c>
      <c r="D201" s="0">
        <v>3.5</v>
      </c>
      <c r="E201" s="0">
        <v>1.37</v>
      </c>
      <c r="F201" s="0">
        <v>0.767</v>
      </c>
    </row>
    <row r="202">
      <c r="A202" s="0">
        <v>5098.5</v>
      </c>
      <c r="B202" s="0">
        <v>-66.3</v>
      </c>
      <c r="C202" s="0">
        <v>46.1</v>
      </c>
      <c r="D202" s="0">
        <v>3.24</v>
      </c>
      <c r="E202" s="0">
        <v>1.4</v>
      </c>
      <c r="F202" s="0">
        <v>0.933</v>
      </c>
    </row>
    <row r="203">
      <c r="A203" s="0">
        <v>5099</v>
      </c>
      <c r="B203" s="0">
        <v>-62.2</v>
      </c>
      <c r="C203" s="0">
        <v>53</v>
      </c>
      <c r="D203" s="0">
        <v>3.28</v>
      </c>
      <c r="E203" s="0">
        <v>1.62</v>
      </c>
      <c r="F203" s="0">
        <v>1.04</v>
      </c>
    </row>
    <row r="204">
      <c r="A204" s="0">
        <v>5099.5</v>
      </c>
      <c r="B204" s="0">
        <v>-54</v>
      </c>
      <c r="C204" s="0">
        <v>60.3</v>
      </c>
      <c r="D204" s="0">
        <v>3.21</v>
      </c>
      <c r="E204" s="0">
        <v>1.75</v>
      </c>
      <c r="F204" s="0">
        <v>1.13</v>
      </c>
    </row>
    <row r="205">
      <c r="A205" s="0">
        <v>5100</v>
      </c>
      <c r="B205" s="0">
        <v>-43.6</v>
      </c>
      <c r="C205" s="0">
        <v>74</v>
      </c>
      <c r="D205" s="0">
        <v>2.8</v>
      </c>
      <c r="E205" s="0">
        <v>1.82</v>
      </c>
      <c r="F205" s="0">
        <v>1.39</v>
      </c>
    </row>
    <row r="206">
      <c r="A206" s="0">
        <v>5100.5</v>
      </c>
      <c r="B206" s="0">
        <v>-35.1</v>
      </c>
      <c r="C206" s="0">
        <v>89</v>
      </c>
      <c r="D206" s="0">
        <v>2.58</v>
      </c>
      <c r="E206" s="0">
        <v>1.93</v>
      </c>
      <c r="F206" s="0">
        <v>1.59</v>
      </c>
    </row>
    <row r="207">
      <c r="A207" s="0">
        <v>5101</v>
      </c>
      <c r="B207" s="0">
        <v>-27.8</v>
      </c>
      <c r="C207" s="0">
        <v>99.1</v>
      </c>
      <c r="D207" s="0">
        <v>2.41</v>
      </c>
      <c r="E207" s="0">
        <v>1.89</v>
      </c>
      <c r="F207" s="0">
        <v>1.67</v>
      </c>
    </row>
    <row r="208">
      <c r="A208" s="0">
        <v>5101.5</v>
      </c>
      <c r="B208" s="0">
        <v>-22.1</v>
      </c>
      <c r="C208" s="0">
        <v>107.1</v>
      </c>
      <c r="D208" s="0">
        <v>2.06</v>
      </c>
      <c r="E208" s="0">
        <v>1.92</v>
      </c>
      <c r="F208" s="0">
        <v>1.96</v>
      </c>
    </row>
    <row r="209">
      <c r="A209" s="0">
        <v>5102</v>
      </c>
      <c r="B209" s="0">
        <v>-19.9</v>
      </c>
      <c r="C209" s="0">
        <v>110.2</v>
      </c>
      <c r="D209" s="0">
        <v>1.95</v>
      </c>
      <c r="E209" s="0">
        <v>2.11</v>
      </c>
      <c r="F209" s="0">
        <v>2.25</v>
      </c>
    </row>
    <row r="210">
      <c r="A210" s="0">
        <v>5102.5</v>
      </c>
      <c r="B210" s="0">
        <v>-18.6</v>
      </c>
      <c r="C210" s="0">
        <v>108.9</v>
      </c>
      <c r="D210" s="0">
        <v>2.06</v>
      </c>
      <c r="E210" s="0">
        <v>2.14</v>
      </c>
      <c r="F210" s="0">
        <v>2.35</v>
      </c>
    </row>
    <row r="211">
      <c r="A211" s="0">
        <v>5103</v>
      </c>
      <c r="B211" s="0">
        <v>-16.7</v>
      </c>
      <c r="C211" s="0">
        <v>111.2</v>
      </c>
      <c r="D211" s="0">
        <v>2.05</v>
      </c>
      <c r="E211" s="0">
        <v>2.21</v>
      </c>
      <c r="F211" s="0">
        <v>2.5</v>
      </c>
    </row>
    <row r="212">
      <c r="A212" s="0">
        <v>5103.5</v>
      </c>
      <c r="B212" s="0">
        <v>-15.8</v>
      </c>
      <c r="C212" s="0">
        <v>113.6</v>
      </c>
      <c r="D212" s="0">
        <v>2.07</v>
      </c>
      <c r="E212" s="0">
        <v>2.43</v>
      </c>
      <c r="F212" s="0">
        <v>2.46</v>
      </c>
    </row>
    <row r="213">
      <c r="A213" s="0">
        <v>5104</v>
      </c>
      <c r="B213" s="0">
        <v>-14.9</v>
      </c>
      <c r="C213" s="0">
        <v>112.8</v>
      </c>
      <c r="D213" s="0">
        <v>2.14</v>
      </c>
      <c r="E213" s="0">
        <v>2.29</v>
      </c>
      <c r="F213" s="0">
        <v>2.28</v>
      </c>
    </row>
    <row r="214">
      <c r="A214" s="0">
        <v>5104.5</v>
      </c>
      <c r="B214" s="0">
        <v>-14.1</v>
      </c>
      <c r="C214" s="0">
        <v>116.2</v>
      </c>
      <c r="D214" s="0">
        <v>2.03</v>
      </c>
      <c r="E214" s="0">
        <v>2.05</v>
      </c>
      <c r="F214" s="0">
        <v>2.31</v>
      </c>
    </row>
    <row r="215">
      <c r="A215" s="0">
        <v>5105</v>
      </c>
      <c r="B215" s="0">
        <v>-14.9</v>
      </c>
      <c r="C215" s="0">
        <v>119.3</v>
      </c>
      <c r="D215" s="0">
        <v>1.95</v>
      </c>
      <c r="E215" s="0">
        <v>2.12</v>
      </c>
      <c r="F215" s="0">
        <v>2.29</v>
      </c>
    </row>
    <row r="216">
      <c r="A216" s="0">
        <v>5105.5</v>
      </c>
      <c r="B216" s="0">
        <v>-15.4</v>
      </c>
      <c r="C216" s="0">
        <v>115.4</v>
      </c>
      <c r="D216" s="0">
        <v>1.94</v>
      </c>
      <c r="E216" s="0">
        <v>2.14</v>
      </c>
      <c r="F216" s="0">
        <v>2.25</v>
      </c>
    </row>
    <row r="217">
      <c r="A217" s="0">
        <v>5106</v>
      </c>
      <c r="B217" s="0">
        <v>-15.2</v>
      </c>
      <c r="C217" s="0">
        <v>113.1</v>
      </c>
      <c r="D217" s="0">
        <v>1.88</v>
      </c>
      <c r="E217" s="0">
        <v>2.09</v>
      </c>
      <c r="F217" s="0">
        <v>2.52</v>
      </c>
    </row>
    <row r="218">
      <c r="A218" s="0">
        <v>5106.5</v>
      </c>
      <c r="B218" s="0">
        <v>-16</v>
      </c>
      <c r="C218" s="0">
        <v>114.2</v>
      </c>
      <c r="D218" s="0">
        <v>1.97</v>
      </c>
      <c r="E218" s="0">
        <v>2.28</v>
      </c>
      <c r="F218" s="0">
        <v>2.65</v>
      </c>
    </row>
    <row r="219">
      <c r="A219" s="0">
        <v>5107</v>
      </c>
      <c r="B219" s="0">
        <v>-15.8</v>
      </c>
      <c r="C219" s="0">
        <v>112.6</v>
      </c>
      <c r="D219" s="0">
        <v>2.15</v>
      </c>
      <c r="E219" s="0">
        <v>2.39</v>
      </c>
      <c r="F219" s="0">
        <v>2.41</v>
      </c>
    </row>
    <row r="220">
      <c r="A220" s="0">
        <v>5107.5</v>
      </c>
      <c r="B220" s="0">
        <v>-14</v>
      </c>
      <c r="C220" s="0">
        <v>113.4</v>
      </c>
      <c r="D220" s="0">
        <v>2.07</v>
      </c>
      <c r="E220" s="0">
        <v>2.27</v>
      </c>
      <c r="F220" s="0">
        <v>2.39</v>
      </c>
    </row>
    <row r="221">
      <c r="A221" s="0">
        <v>5108</v>
      </c>
      <c r="B221" s="0">
        <v>-14.1</v>
      </c>
      <c r="C221" s="0">
        <v>117</v>
      </c>
      <c r="D221" s="0">
        <v>2</v>
      </c>
      <c r="E221" s="0">
        <v>2.22</v>
      </c>
      <c r="F221" s="0">
        <v>2.4</v>
      </c>
    </row>
    <row r="222">
      <c r="A222" s="0">
        <v>5108.5</v>
      </c>
      <c r="B222" s="0">
        <v>-14.9</v>
      </c>
      <c r="C222" s="0">
        <v>117.1</v>
      </c>
      <c r="D222" s="0">
        <v>2.06</v>
      </c>
      <c r="E222" s="0">
        <v>2.11</v>
      </c>
      <c r="F222" s="0">
        <v>2.21</v>
      </c>
    </row>
    <row r="223">
      <c r="A223" s="0">
        <v>5109</v>
      </c>
      <c r="B223" s="0">
        <v>-14.6</v>
      </c>
      <c r="C223" s="0">
        <v>116.8</v>
      </c>
      <c r="D223" s="0">
        <v>1.93</v>
      </c>
      <c r="E223" s="0">
        <v>2.01</v>
      </c>
      <c r="F223" s="0">
        <v>2.26</v>
      </c>
    </row>
    <row r="224">
      <c r="A224" s="0">
        <v>5109.5</v>
      </c>
      <c r="B224" s="0">
        <v>-15.3</v>
      </c>
      <c r="C224" s="0">
        <v>116.2</v>
      </c>
      <c r="D224" s="0">
        <v>1.84</v>
      </c>
      <c r="E224" s="0">
        <v>2.18</v>
      </c>
      <c r="F224" s="0">
        <v>2.5</v>
      </c>
    </row>
    <row r="225">
      <c r="A225" s="0">
        <v>5110</v>
      </c>
      <c r="B225" s="0">
        <v>-16.2</v>
      </c>
      <c r="C225" s="0">
        <v>112.2</v>
      </c>
      <c r="D225" s="0">
        <v>1.99</v>
      </c>
      <c r="E225" s="0">
        <v>2.27</v>
      </c>
      <c r="F225" s="0">
        <v>2.51</v>
      </c>
    </row>
    <row r="226">
      <c r="A226" s="0">
        <v>5110.5</v>
      </c>
      <c r="B226" s="0">
        <v>-15.4</v>
      </c>
      <c r="C226" s="0">
        <v>112</v>
      </c>
      <c r="D226" s="0">
        <v>2.07</v>
      </c>
      <c r="E226" s="0">
        <v>2.22</v>
      </c>
      <c r="F226" s="0">
        <v>2.53</v>
      </c>
    </row>
    <row r="227">
      <c r="A227" s="0">
        <v>5111</v>
      </c>
      <c r="B227" s="0">
        <v>-14.8</v>
      </c>
      <c r="C227" s="0">
        <v>115.3</v>
      </c>
      <c r="D227" s="0">
        <v>2.05</v>
      </c>
      <c r="E227" s="0">
        <v>2.38</v>
      </c>
      <c r="F227" s="0">
        <v>2.5</v>
      </c>
    </row>
    <row r="228">
      <c r="A228" s="0">
        <v>5111.5</v>
      </c>
      <c r="B228" s="0">
        <v>-14.5</v>
      </c>
      <c r="C228" s="0">
        <v>114.8</v>
      </c>
      <c r="D228" s="0">
        <v>2.1</v>
      </c>
      <c r="E228" s="0">
        <v>2.34</v>
      </c>
      <c r="F228" s="0">
        <v>2.28</v>
      </c>
    </row>
    <row r="229">
      <c r="A229" s="0">
        <v>5112</v>
      </c>
      <c r="B229" s="0">
        <v>-13.9</v>
      </c>
      <c r="C229" s="0">
        <v>115.6</v>
      </c>
      <c r="D229" s="0">
        <v>2.03</v>
      </c>
      <c r="E229" s="0">
        <v>2.04</v>
      </c>
      <c r="F229" s="0">
        <v>2.27</v>
      </c>
    </row>
    <row r="230">
      <c r="A230" s="0">
        <v>5112.5</v>
      </c>
      <c r="B230" s="0">
        <v>-14.7</v>
      </c>
      <c r="C230" s="0">
        <v>119.1</v>
      </c>
      <c r="D230" s="0">
        <v>1.91</v>
      </c>
      <c r="E230" s="0">
        <v>2.05</v>
      </c>
      <c r="F230" s="0">
        <v>2.35</v>
      </c>
    </row>
    <row r="231">
      <c r="A231" s="0">
        <v>5113</v>
      </c>
      <c r="B231" s="0">
        <v>-15.8</v>
      </c>
      <c r="C231" s="0">
        <v>116.3</v>
      </c>
      <c r="D231" s="0">
        <v>1.94</v>
      </c>
      <c r="E231" s="0">
        <v>2.19</v>
      </c>
      <c r="F231" s="0">
        <v>2.3</v>
      </c>
    </row>
    <row r="232">
      <c r="A232" s="0">
        <v>5113.5</v>
      </c>
      <c r="B232" s="0">
        <v>-15.3</v>
      </c>
      <c r="C232" s="0">
        <v>112.2</v>
      </c>
      <c r="D232" s="0">
        <v>1.92</v>
      </c>
      <c r="E232" s="0">
        <v>2.14</v>
      </c>
      <c r="F232" s="0">
        <v>2.47</v>
      </c>
    </row>
    <row r="233">
      <c r="A233" s="0">
        <v>5114</v>
      </c>
      <c r="B233" s="0">
        <v>-15.5</v>
      </c>
      <c r="C233" s="0">
        <v>113.4</v>
      </c>
      <c r="D233" s="0">
        <v>1.95</v>
      </c>
      <c r="E233" s="0">
        <v>2.26</v>
      </c>
      <c r="F233" s="0">
        <v>2.69</v>
      </c>
    </row>
    <row r="234">
      <c r="A234" s="0">
        <v>5114.5</v>
      </c>
      <c r="B234" s="0">
        <v>-15.8</v>
      </c>
      <c r="C234" s="0">
        <v>113.7</v>
      </c>
      <c r="D234" s="0">
        <v>2.14</v>
      </c>
      <c r="E234" s="0">
        <v>2.4</v>
      </c>
      <c r="F234" s="0">
        <v>2.45</v>
      </c>
    </row>
    <row r="235">
      <c r="A235" s="0">
        <v>5115</v>
      </c>
      <c r="B235" s="0">
        <v>-14.2</v>
      </c>
      <c r="C235" s="0">
        <v>113.7</v>
      </c>
      <c r="D235" s="0">
        <v>2.13</v>
      </c>
      <c r="E235" s="0">
        <v>2.26</v>
      </c>
      <c r="F235" s="0">
        <v>2.29</v>
      </c>
    </row>
    <row r="236">
      <c r="A236" s="0">
        <v>5115.5</v>
      </c>
      <c r="B236" s="0">
        <v>-13.7</v>
      </c>
      <c r="C236" s="0">
        <v>117</v>
      </c>
      <c r="D236" s="0">
        <v>1.97</v>
      </c>
      <c r="E236" s="0">
        <v>2.17</v>
      </c>
      <c r="F236" s="0">
        <v>2.37</v>
      </c>
    </row>
    <row r="237">
      <c r="A237" s="0">
        <v>5116</v>
      </c>
      <c r="B237" s="0">
        <v>-15</v>
      </c>
      <c r="C237" s="0">
        <v>117.6</v>
      </c>
      <c r="D237" s="0">
        <v>2</v>
      </c>
      <c r="E237" s="0">
        <v>2.12</v>
      </c>
      <c r="F237" s="0">
        <v>2.27</v>
      </c>
    </row>
    <row r="238">
      <c r="A238" s="0">
        <v>5116.5</v>
      </c>
      <c r="B238" s="0">
        <v>-15.1</v>
      </c>
      <c r="C238" s="0">
        <v>116</v>
      </c>
      <c r="D238" s="0">
        <v>1.97</v>
      </c>
      <c r="E238" s="0">
        <v>2.02</v>
      </c>
      <c r="F238" s="0">
        <v>2.26</v>
      </c>
    </row>
    <row r="239">
      <c r="A239" s="0">
        <v>5117</v>
      </c>
      <c r="B239" s="0">
        <v>-15.2</v>
      </c>
      <c r="C239" s="0">
        <v>115.7</v>
      </c>
      <c r="D239" s="0">
        <v>1.85</v>
      </c>
      <c r="E239" s="0">
        <v>2.16</v>
      </c>
      <c r="F239" s="0">
        <v>2.51</v>
      </c>
    </row>
    <row r="240">
      <c r="A240" s="0">
        <v>5117.5</v>
      </c>
      <c r="B240" s="0">
        <v>-16.1</v>
      </c>
      <c r="C240" s="0">
        <v>112.7</v>
      </c>
      <c r="D240" s="0">
        <v>1.97</v>
      </c>
      <c r="E240" s="0">
        <v>2.34</v>
      </c>
      <c r="F240" s="0">
        <v>2.56</v>
      </c>
    </row>
    <row r="241">
      <c r="A241" s="0">
        <v>5118</v>
      </c>
      <c r="B241" s="0">
        <v>-15.5</v>
      </c>
      <c r="C241" s="0">
        <v>111.2</v>
      </c>
      <c r="D241" s="0">
        <v>2.11</v>
      </c>
      <c r="E241" s="0">
        <v>2.25</v>
      </c>
      <c r="F241" s="0">
        <v>2.5</v>
      </c>
    </row>
    <row r="242">
      <c r="A242" s="0">
        <v>5118.5</v>
      </c>
      <c r="B242" s="0">
        <v>-14.5</v>
      </c>
      <c r="C242" s="0">
        <v>115.3</v>
      </c>
      <c r="D242" s="0">
        <v>2.07</v>
      </c>
      <c r="E242" s="0">
        <v>2.29</v>
      </c>
      <c r="F242" s="0">
        <v>2.48</v>
      </c>
    </row>
    <row r="243">
      <c r="A243" s="0">
        <v>5119</v>
      </c>
      <c r="B243" s="0">
        <v>-14.5</v>
      </c>
      <c r="C243" s="0">
        <v>116.5</v>
      </c>
      <c r="D243" s="0">
        <v>2.07</v>
      </c>
      <c r="E243" s="0">
        <v>2.34</v>
      </c>
      <c r="F243" s="0">
        <v>2.28</v>
      </c>
    </row>
    <row r="244">
      <c r="A244" s="0">
        <v>5119.5</v>
      </c>
      <c r="B244" s="0">
        <v>-14.1</v>
      </c>
      <c r="C244" s="0">
        <v>115.3</v>
      </c>
      <c r="D244" s="0">
        <v>2.02</v>
      </c>
      <c r="E244" s="0">
        <v>2.07</v>
      </c>
      <c r="F244" s="0">
        <v>2.22</v>
      </c>
    </row>
    <row r="245">
      <c r="A245" s="0">
        <v>5120</v>
      </c>
      <c r="B245" s="0">
        <v>-14.6</v>
      </c>
      <c r="C245" s="0">
        <v>117.9</v>
      </c>
      <c r="D245" s="0">
        <v>1.9</v>
      </c>
      <c r="E245" s="0">
        <v>1.99</v>
      </c>
      <c r="F245" s="0">
        <v>2.38</v>
      </c>
    </row>
  </sheetData>
  <mergeCells>
    <mergeCell ref="A2:F2"/>
    <mergeCell ref="A3:F3"/>
  </mergeCells>
  <pageSetup orientation="portrait" fitToWidth="1" fitToHeight="0"/>
  <headerFooter/>
</worksheet>
</file>

<file path=xl/worksheets/sheet4.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J126"/>
  <sheetViews>
    <sheetView workbookViewId="0" showGridLines="0"/>
  </sheetViews>
  <sheetFormatPr defaultRowHeight="15"/>
  <cols>
    <col min="1" max="1" width="7" customWidth="1"/>
    <col min="2" max="2" width="1" customWidth="1"/>
    <col min="3" max="3" width="13" customWidth="1"/>
    <col min="4" max="4" width="15" customWidth="1"/>
    <col min="5" max="5" width="5" customWidth="1"/>
    <col min="6" max="6" width="26" customWidth="1"/>
    <col min="7" max="7" width="13" customWidth="1"/>
    <col min="8" max="8" width="3" customWidth="1"/>
    <col min="9" max="9" width="5" customWidth="1"/>
    <col min="10" max="10" width="32" customWidth="1"/>
  </cols>
  <sheetData>
    <row r="1" ht="15" customHeight="1">
      <c r="A1" s="22" t="str">
        <f>"Well log — "&amp;LD_WellName</f>
        <v>Well log — Example well A-12</v>
      </c>
    </row>
    <row r="2" ht="15" customHeight="1">
      <c r="A2" s="12" t="str">
        <f>"Depth "&amp;ROUND(LD_Top,1)&amp;"–"&amp;ROUND(LD_Base,1)&amp;" ft, "&amp;ROUND(LD_Step,6)&amp;" ft per row. "&amp;LD_N&amp;" samples in Log Data, "&amp;ROUND(LD_First,1)&amp;"–"&amp;ROUND(LD_Last,1)&amp;" ft."</f>
        <v>Depth 5000–5120 ft, 1 ft per row. 241 samples in Log Data, 5000–5120 ft.</v>
      </c>
    </row>
    <row r="3" ht="15" customHeight="1">
      <c r="A3" s="23" t="str">
        <f>IF(LD_Problems=0,"Inputs consistent.","CHECK: "&amp;LD_Problems&amp;" input check(s) failing — see the Inputs sheet.")</f>
        <v>Inputs consistent.</v>
      </c>
    </row>
    <row r="4" ht="4" customHeight="1"/>
    <row r="5" ht="27" customHeight="1">
      <c r="A5" s="25" t="s">
        <v>69</v>
      </c>
      <c r="C5" s="25" t="s">
        <v>70</v>
      </c>
      <c r="D5" s="25" t="s">
        <v>71</v>
      </c>
      <c r="E5" s="25" t="s">
        <v>79</v>
      </c>
      <c r="F5" s="25" t="s">
        <v>80</v>
      </c>
      <c r="G5" s="25" t="s">
        <v>81</v>
      </c>
      <c r="I5" s="24" t="s">
        <v>82</v>
      </c>
    </row>
    <row r="6" ht="11" customHeight="1">
      <c r="C6" s="26" t="str">
        <f>LD_SPMin&amp;"   …   "&amp;LD_SPMax</f>
        <v>-100   …   0</v>
      </c>
      <c r="D6" s="26" t="str">
        <f>LD_GRMin&amp;"   …   "&amp;LD_GRMax</f>
        <v>0   …   150</v>
      </c>
      <c r="F6" s="26" t="str">
        <f>LD_RMin&amp;"   …   "&amp;LD_RMax</f>
        <v>0.2   …   2000</v>
      </c>
      <c r="G6" s="26" t="str">
        <f>"0   …   1"</f>
        <v>0   …   1</v>
      </c>
    </row>
    <row r="7" ht="6" customHeight="1">
      <c r="A7" s="28">
        <f>ROUND(LD_Top+0*LD_Step,6)</f>
        <v>5000</v>
      </c>
      <c r="B7" s="27">
        <f>IFERROR(Calc!O14,"")</f>
        <v>4</v>
      </c>
      <c r="C7" s="30"/>
      <c r="D7" s="30"/>
      <c r="E7" s="30"/>
      <c r="F7" s="30"/>
      <c r="G7" s="30"/>
      <c r="I7" s="32"/>
      <c r="J7" s="33" t="s">
        <v>83</v>
      </c>
    </row>
    <row r="8" ht="6" customHeight="1">
      <c r="B8" s="27">
        <f>IFERROR(Calc!O15,"")</f>
        <v>4</v>
      </c>
      <c r="C8" s="29"/>
      <c r="D8" s="29"/>
      <c r="E8" s="29"/>
      <c r="F8" s="29"/>
      <c r="G8" s="29"/>
      <c r="I8" s="32"/>
      <c r="J8" s="33"/>
    </row>
    <row r="9" ht="6" customHeight="1">
      <c r="B9" s="27">
        <f>IFERROR(Calc!O16,"")</f>
        <v>4</v>
      </c>
      <c r="C9" s="29"/>
      <c r="D9" s="29"/>
      <c r="E9" s="29"/>
      <c r="F9" s="29"/>
      <c r="G9" s="29"/>
      <c r="I9" s="34"/>
      <c r="J9" s="33" t="s">
        <v>84</v>
      </c>
    </row>
    <row r="10" ht="6" customHeight="1">
      <c r="B10" s="27">
        <f>IFERROR(Calc!O17,"")</f>
        <v>4</v>
      </c>
      <c r="C10" s="29"/>
      <c r="D10" s="29"/>
      <c r="E10" s="29"/>
      <c r="F10" s="29"/>
      <c r="G10" s="29"/>
      <c r="I10" s="34"/>
      <c r="J10" s="33"/>
    </row>
    <row r="11" ht="6" customHeight="1">
      <c r="B11" s="27">
        <f>IFERROR(Calc!O18,"")</f>
        <v>4</v>
      </c>
      <c r="C11" s="29"/>
      <c r="D11" s="29"/>
      <c r="E11" s="29"/>
      <c r="F11" s="29"/>
      <c r="G11" s="29"/>
      <c r="I11" s="35"/>
      <c r="J11" s="33" t="str">
        <f>"clean sand   GR &lt; "&amp;LD_GRB1</f>
        <v>clean sand   GR &lt; 45</v>
      </c>
    </row>
    <row r="12" ht="6" customHeight="1">
      <c r="B12" s="27">
        <f>IFERROR(Calc!O19,"")</f>
        <v>4</v>
      </c>
      <c r="C12" s="29"/>
      <c r="D12" s="29"/>
      <c r="E12" s="29"/>
      <c r="F12" s="29"/>
      <c r="G12" s="29"/>
      <c r="I12" s="35"/>
      <c r="J12" s="33"/>
    </row>
    <row r="13" ht="6" customHeight="1">
      <c r="B13" s="27">
        <f>IFERROR(Calc!O20,"")</f>
        <v>4</v>
      </c>
      <c r="C13" s="29"/>
      <c r="D13" s="29"/>
      <c r="E13" s="29"/>
      <c r="F13" s="29"/>
      <c r="G13" s="29"/>
      <c r="I13" s="36"/>
      <c r="J13" s="33" t="str">
        <f>"sand   GR "&amp;LD_GRB1&amp;" – "&amp;LD_GRB2</f>
        <v>sand   GR 45 – 65</v>
      </c>
    </row>
    <row r="14" ht="6" customHeight="1">
      <c r="B14" s="27">
        <f>IFERROR(Calc!O21,"")</f>
        <v>4</v>
      </c>
      <c r="C14" s="29"/>
      <c r="D14" s="29"/>
      <c r="E14" s="29"/>
      <c r="F14" s="29"/>
      <c r="G14" s="29"/>
      <c r="I14" s="36"/>
      <c r="J14" s="33"/>
    </row>
    <row r="15" ht="6" customHeight="1">
      <c r="B15" s="27">
        <f>IFERROR(Calc!O22,"")</f>
        <v>4</v>
      </c>
      <c r="C15" s="29"/>
      <c r="D15" s="29"/>
      <c r="E15" s="29"/>
      <c r="F15" s="29"/>
      <c r="G15" s="29"/>
      <c r="I15" s="37"/>
      <c r="J15" s="33" t="str">
        <f>"shaly sand   GR "&amp;LD_GRB2&amp;" – "&amp;LD_GRB3</f>
        <v>shaly sand   GR 65 – 85</v>
      </c>
    </row>
    <row r="16" ht="6" customHeight="1">
      <c r="B16" s="27">
        <f>IFERROR(Calc!O23,"")</f>
        <v>4</v>
      </c>
      <c r="C16" s="29"/>
      <c r="D16" s="29"/>
      <c r="E16" s="29"/>
      <c r="F16" s="29"/>
      <c r="G16" s="29"/>
      <c r="I16" s="37"/>
      <c r="J16" s="33"/>
    </row>
    <row r="17" ht="6" customHeight="1">
      <c r="A17" s="28">
        <f>ROUND(LD_Top+10*LD_Step,6)</f>
        <v>5010</v>
      </c>
      <c r="B17" s="27">
        <f>IFERROR(Calc!O24,"")</f>
        <v>3</v>
      </c>
      <c r="C17" s="29"/>
      <c r="D17" s="29"/>
      <c r="E17" s="29"/>
      <c r="F17" s="29"/>
      <c r="G17" s="29"/>
      <c r="I17" s="38"/>
      <c r="J17" s="33" t="str">
        <f>"sandy shale   GR "&amp;LD_GRB3&amp;" – "&amp;LD_GRB4</f>
        <v>sandy shale   GR 85 – 105</v>
      </c>
    </row>
    <row r="18" ht="6" customHeight="1">
      <c r="B18" s="27">
        <f>IFERROR(Calc!O25,"")</f>
        <v>3</v>
      </c>
      <c r="C18" s="29"/>
      <c r="D18" s="29"/>
      <c r="E18" s="29"/>
      <c r="F18" s="29"/>
      <c r="G18" s="29"/>
      <c r="I18" s="38"/>
      <c r="J18" s="33"/>
    </row>
    <row r="19" ht="6" customHeight="1">
      <c r="B19" s="27">
        <f>IFERROR(Calc!O26,"")</f>
        <v>1</v>
      </c>
      <c r="C19" s="29"/>
      <c r="D19" s="29"/>
      <c r="E19" s="29"/>
      <c r="F19" s="29"/>
      <c r="G19" s="29"/>
      <c r="I19" s="39"/>
      <c r="J19" s="33" t="str">
        <f>"shale   GR ≥ "&amp;LD_GRB4</f>
        <v>shale   GR ≥ 105</v>
      </c>
    </row>
    <row r="20" ht="6" customHeight="1">
      <c r="B20" s="27">
        <f>IFERROR(Calc!O27,"")</f>
        <v>0</v>
      </c>
      <c r="C20" s="29"/>
      <c r="D20" s="29"/>
      <c r="E20" s="29"/>
      <c r="F20" s="29"/>
      <c r="G20" s="29"/>
      <c r="I20" s="39"/>
      <c r="J20" s="33"/>
    </row>
    <row r="21" ht="6" customHeight="1">
      <c r="B21" s="27">
        <f>IFERROR(Calc!O28,"")</f>
        <v>0</v>
      </c>
      <c r="C21" s="29"/>
      <c r="D21" s="29"/>
      <c r="E21" s="29"/>
      <c r="F21" s="29"/>
      <c r="G21" s="29"/>
      <c r="I21" s="40" t="s">
        <v>85</v>
      </c>
      <c r="J21" s="33" t="s">
        <v>86</v>
      </c>
    </row>
    <row r="22" ht="6" customHeight="1">
      <c r="B22" s="27">
        <f>IFERROR(Calc!O29,"")</f>
        <v>0</v>
      </c>
      <c r="C22" s="29"/>
      <c r="D22" s="29"/>
      <c r="E22" s="29"/>
      <c r="F22" s="29"/>
      <c r="G22" s="29"/>
      <c r="I22" s="40" t="s">
        <v>85</v>
      </c>
      <c r="J22" s="33"/>
    </row>
    <row r="23" ht="6" customHeight="1">
      <c r="B23" s="27">
        <f>IFERROR(Calc!O30,"")</f>
        <v>0</v>
      </c>
      <c r="C23" s="29"/>
      <c r="D23" s="29"/>
      <c r="E23" s="29"/>
      <c r="F23" s="29"/>
      <c r="G23" s="29"/>
      <c r="I23" s="41" t="s">
        <v>87</v>
      </c>
      <c r="J23" s="33" t="s">
        <v>88</v>
      </c>
    </row>
    <row r="24" ht="6" customHeight="1">
      <c r="B24" s="27">
        <f>IFERROR(Calc!O31,"")</f>
        <v>0</v>
      </c>
      <c r="C24" s="29"/>
      <c r="D24" s="29"/>
      <c r="E24" s="29"/>
      <c r="F24" s="29"/>
      <c r="G24" s="29"/>
      <c r="I24" s="41" t="s">
        <v>87</v>
      </c>
      <c r="J24" s="33"/>
    </row>
    <row r="25" ht="6" customHeight="1">
      <c r="B25" s="27">
        <f>IFERROR(Calc!O32,"")</f>
        <v>0</v>
      </c>
      <c r="C25" s="29"/>
      <c r="D25" s="29"/>
      <c r="E25" s="29"/>
      <c r="F25" s="29"/>
      <c r="G25" s="29"/>
      <c r="I25" s="42" t="s">
        <v>89</v>
      </c>
      <c r="J25" s="33" t="s">
        <v>90</v>
      </c>
    </row>
    <row r="26" ht="6" customHeight="1">
      <c r="B26" s="27">
        <f>IFERROR(Calc!O33,"")</f>
        <v>0</v>
      </c>
      <c r="C26" s="29"/>
      <c r="D26" s="29"/>
      <c r="E26" s="29"/>
      <c r="F26" s="29"/>
      <c r="G26" s="29"/>
      <c r="I26" s="42" t="s">
        <v>89</v>
      </c>
      <c r="J26" s="33"/>
    </row>
    <row r="27" ht="6" customHeight="1">
      <c r="A27" s="28">
        <f>ROUND(LD_Top+20*LD_Step,6)</f>
        <v>5020</v>
      </c>
      <c r="B27" s="27">
        <f>IFERROR(Calc!O34,"")</f>
        <v>0</v>
      </c>
      <c r="C27" s="29"/>
      <c r="D27" s="29"/>
      <c r="E27" s="29"/>
      <c r="F27" s="29"/>
      <c r="G27" s="29"/>
      <c r="I27" s="43"/>
      <c r="J27" s="33" t="s">
        <v>91</v>
      </c>
    </row>
    <row r="28" ht="6" customHeight="1">
      <c r="B28" s="27">
        <f>IFERROR(Calc!O35,"")</f>
        <v>0</v>
      </c>
      <c r="C28" s="29"/>
      <c r="D28" s="29"/>
      <c r="E28" s="29"/>
      <c r="F28" s="29"/>
      <c r="G28" s="29"/>
      <c r="I28" s="43"/>
      <c r="J28" s="33"/>
    </row>
    <row r="29" ht="6" customHeight="1">
      <c r="B29" s="27">
        <f>IFERROR(Calc!O36,"")</f>
        <v>0</v>
      </c>
      <c r="C29" s="29"/>
      <c r="D29" s="29"/>
      <c r="E29" s="29"/>
      <c r="F29" s="29"/>
      <c r="G29" s="29"/>
    </row>
    <row r="30" ht="6" customHeight="1">
      <c r="B30" s="27">
        <f>IFERROR(Calc!O37,"")</f>
        <v>0</v>
      </c>
      <c r="C30" s="29"/>
      <c r="D30" s="29"/>
      <c r="E30" s="29"/>
      <c r="F30" s="29"/>
      <c r="G30" s="29"/>
    </row>
    <row r="31" ht="6" customHeight="1">
      <c r="B31" s="27">
        <f>IFERROR(Calc!O38,"")</f>
        <v>0</v>
      </c>
      <c r="C31" s="29"/>
      <c r="D31" s="29"/>
      <c r="E31" s="29"/>
      <c r="F31" s="29"/>
      <c r="G31" s="29"/>
    </row>
    <row r="32" ht="6" customHeight="1">
      <c r="B32" s="27">
        <f>IFERROR(Calc!O39,"")</f>
        <v>0</v>
      </c>
      <c r="C32" s="29"/>
      <c r="D32" s="29"/>
      <c r="E32" s="29"/>
      <c r="F32" s="29"/>
      <c r="G32" s="29"/>
    </row>
    <row r="33" ht="6" customHeight="1">
      <c r="B33" s="27">
        <f>IFERROR(Calc!O40,"")</f>
        <v>0</v>
      </c>
      <c r="C33" s="29"/>
      <c r="D33" s="29"/>
      <c r="E33" s="29"/>
      <c r="F33" s="29"/>
      <c r="G33" s="29"/>
    </row>
    <row r="34" ht="6" customHeight="1">
      <c r="B34" s="27">
        <f>IFERROR(Calc!O41,"")</f>
        <v>0</v>
      </c>
      <c r="C34" s="29"/>
      <c r="D34" s="29"/>
      <c r="E34" s="29"/>
      <c r="F34" s="29"/>
      <c r="G34" s="29"/>
    </row>
    <row r="35" ht="6" customHeight="1">
      <c r="B35" s="27">
        <f>IFERROR(Calc!O42,"")</f>
        <v>0</v>
      </c>
      <c r="C35" s="29"/>
      <c r="D35" s="29"/>
      <c r="E35" s="29"/>
      <c r="F35" s="29"/>
      <c r="G35" s="29"/>
    </row>
    <row r="36" ht="6" customHeight="1">
      <c r="B36" s="27">
        <f>IFERROR(Calc!O43,"")</f>
        <v>0</v>
      </c>
      <c r="C36" s="29"/>
      <c r="D36" s="29"/>
      <c r="E36" s="29"/>
      <c r="F36" s="29"/>
      <c r="G36" s="29"/>
    </row>
    <row r="37" ht="6" customHeight="1">
      <c r="A37" s="28">
        <f>ROUND(LD_Top+30*LD_Step,6)</f>
        <v>5030</v>
      </c>
      <c r="B37" s="27">
        <f>IFERROR(Calc!O44,"")</f>
        <v>0</v>
      </c>
      <c r="C37" s="29"/>
      <c r="D37" s="29"/>
      <c r="E37" s="29"/>
      <c r="F37" s="29"/>
      <c r="G37" s="29"/>
    </row>
    <row r="38" ht="6" customHeight="1">
      <c r="B38" s="27">
        <f>IFERROR(Calc!O45,"")</f>
        <v>0</v>
      </c>
      <c r="C38" s="29"/>
      <c r="D38" s="29"/>
      <c r="E38" s="29"/>
      <c r="F38" s="29"/>
      <c r="G38" s="29"/>
    </row>
    <row r="39" ht="6" customHeight="1">
      <c r="B39" s="27">
        <f>IFERROR(Calc!O46,"")</f>
        <v>0</v>
      </c>
      <c r="C39" s="29"/>
      <c r="D39" s="29"/>
      <c r="E39" s="29"/>
      <c r="F39" s="29"/>
      <c r="G39" s="29"/>
    </row>
    <row r="40" ht="6" customHeight="1">
      <c r="B40" s="27">
        <f>IFERROR(Calc!O47,"")</f>
        <v>1</v>
      </c>
      <c r="C40" s="29"/>
      <c r="D40" s="29"/>
      <c r="E40" s="29"/>
      <c r="F40" s="29"/>
      <c r="G40" s="29"/>
    </row>
    <row r="41" ht="6" customHeight="1">
      <c r="B41" s="27">
        <f>IFERROR(Calc!O48,"")</f>
        <v>3</v>
      </c>
      <c r="C41" s="29"/>
      <c r="D41" s="29"/>
      <c r="E41" s="29"/>
      <c r="F41" s="29"/>
      <c r="G41" s="29"/>
    </row>
    <row r="42" ht="6" customHeight="1">
      <c r="B42" s="27">
        <f>IFERROR(Calc!O49,"")</f>
        <v>3</v>
      </c>
      <c r="C42" s="29"/>
      <c r="D42" s="29"/>
      <c r="E42" s="29"/>
      <c r="F42" s="29"/>
      <c r="G42" s="29"/>
    </row>
    <row r="43" ht="6" customHeight="1">
      <c r="B43" s="27">
        <f>IFERROR(Calc!O50,"")</f>
        <v>4</v>
      </c>
      <c r="C43" s="29"/>
      <c r="D43" s="29"/>
      <c r="E43" s="29"/>
      <c r="F43" s="29"/>
      <c r="G43" s="29"/>
    </row>
    <row r="44" ht="6" customHeight="1">
      <c r="B44" s="27">
        <f>IFERROR(Calc!O51,"")</f>
        <v>4</v>
      </c>
      <c r="C44" s="29"/>
      <c r="D44" s="29"/>
      <c r="E44" s="29"/>
      <c r="F44" s="29"/>
      <c r="G44" s="29"/>
    </row>
    <row r="45" ht="6" customHeight="1">
      <c r="B45" s="27">
        <f>IFERROR(Calc!O52,"")</f>
        <v>4</v>
      </c>
      <c r="C45" s="29"/>
      <c r="D45" s="29"/>
      <c r="E45" s="29"/>
      <c r="F45" s="29"/>
      <c r="G45" s="29"/>
    </row>
    <row r="46" ht="6" customHeight="1">
      <c r="B46" s="27">
        <f>IFERROR(Calc!O53,"")</f>
        <v>3</v>
      </c>
      <c r="C46" s="29"/>
      <c r="D46" s="29"/>
      <c r="E46" s="29"/>
      <c r="F46" s="29"/>
      <c r="G46" s="29"/>
    </row>
    <row r="47" ht="6" customHeight="1">
      <c r="A47" s="28">
        <f>ROUND(LD_Top+40*LD_Step,6)</f>
        <v>5040</v>
      </c>
      <c r="B47" s="27">
        <f>IFERROR(Calc!O54,"")</f>
        <v>2</v>
      </c>
      <c r="C47" s="29"/>
      <c r="D47" s="29"/>
      <c r="E47" s="29"/>
      <c r="F47" s="29"/>
      <c r="G47" s="29"/>
    </row>
    <row r="48" ht="6" customHeight="1">
      <c r="B48" s="27">
        <f>IFERROR(Calc!O55,"")</f>
        <v>2</v>
      </c>
      <c r="C48" s="29"/>
      <c r="D48" s="29"/>
      <c r="E48" s="29"/>
      <c r="F48" s="29"/>
      <c r="G48" s="29"/>
    </row>
    <row r="49" ht="6" customHeight="1">
      <c r="B49" s="27">
        <f>IFERROR(Calc!O56,"")</f>
        <v>2</v>
      </c>
      <c r="C49" s="29"/>
      <c r="D49" s="29"/>
      <c r="E49" s="29"/>
      <c r="F49" s="29"/>
      <c r="G49" s="29"/>
    </row>
    <row r="50" ht="6" customHeight="1">
      <c r="B50" s="27">
        <f>IFERROR(Calc!O57,"")</f>
        <v>1</v>
      </c>
      <c r="C50" s="29"/>
      <c r="D50" s="29"/>
      <c r="E50" s="29"/>
      <c r="F50" s="29"/>
      <c r="G50" s="29"/>
    </row>
    <row r="51" ht="6" customHeight="1">
      <c r="B51" s="27">
        <f>IFERROR(Calc!O58,"")</f>
        <v>1</v>
      </c>
      <c r="C51" s="29"/>
      <c r="D51" s="29"/>
      <c r="E51" s="29"/>
      <c r="F51" s="29"/>
      <c r="G51" s="29"/>
    </row>
    <row r="52" ht="6" customHeight="1">
      <c r="B52" s="27">
        <f>IFERROR(Calc!O59,"")</f>
        <v>2</v>
      </c>
      <c r="C52" s="29"/>
      <c r="D52" s="29"/>
      <c r="E52" s="29"/>
      <c r="F52" s="29"/>
      <c r="G52" s="29"/>
    </row>
    <row r="53" ht="6" customHeight="1">
      <c r="B53" s="27">
        <f>IFERROR(Calc!O60,"")</f>
        <v>1</v>
      </c>
      <c r="C53" s="29"/>
      <c r="D53" s="29"/>
      <c r="E53" s="29"/>
      <c r="F53" s="29"/>
      <c r="G53" s="29"/>
    </row>
    <row r="54" ht="6" customHeight="1">
      <c r="B54" s="27">
        <f>IFERROR(Calc!O61,"")</f>
        <v>1</v>
      </c>
      <c r="C54" s="29"/>
      <c r="D54" s="29"/>
      <c r="E54" s="29"/>
      <c r="F54" s="29"/>
      <c r="G54" s="29"/>
    </row>
    <row r="55" ht="6" customHeight="1">
      <c r="B55" s="27">
        <f>IFERROR(Calc!O62,"")</f>
        <v>1</v>
      </c>
      <c r="C55" s="29"/>
      <c r="D55" s="29"/>
      <c r="E55" s="29"/>
      <c r="F55" s="29"/>
      <c r="G55" s="29"/>
    </row>
    <row r="56" ht="6" customHeight="1">
      <c r="B56" s="27">
        <f>IFERROR(Calc!O63,"")</f>
        <v>2</v>
      </c>
      <c r="C56" s="29"/>
      <c r="D56" s="29"/>
      <c r="E56" s="29"/>
      <c r="F56" s="29"/>
      <c r="G56" s="29"/>
    </row>
    <row r="57" ht="6" customHeight="1">
      <c r="A57" s="28">
        <f>ROUND(LD_Top+50*LD_Step,6)</f>
        <v>5050</v>
      </c>
      <c r="B57" s="27">
        <f>IFERROR(Calc!O64,"")</f>
        <v>1</v>
      </c>
      <c r="C57" s="29"/>
      <c r="D57" s="29"/>
      <c r="E57" s="29"/>
      <c r="F57" s="29"/>
      <c r="G57" s="29"/>
    </row>
    <row r="58" ht="6" customHeight="1">
      <c r="B58" s="27">
        <f>IFERROR(Calc!O65,"")</f>
        <v>1</v>
      </c>
      <c r="C58" s="29"/>
      <c r="D58" s="29"/>
      <c r="E58" s="29"/>
      <c r="F58" s="29"/>
      <c r="G58" s="29"/>
    </row>
    <row r="59" ht="6" customHeight="1">
      <c r="B59" s="27">
        <f>IFERROR(Calc!O66,"")</f>
        <v>2</v>
      </c>
      <c r="C59" s="29"/>
      <c r="D59" s="29"/>
      <c r="E59" s="29"/>
      <c r="F59" s="29"/>
      <c r="G59" s="29"/>
    </row>
    <row r="60" ht="6" customHeight="1">
      <c r="B60" s="27">
        <f>IFERROR(Calc!O67,"")</f>
        <v>2</v>
      </c>
      <c r="C60" s="29"/>
      <c r="D60" s="29"/>
      <c r="E60" s="29"/>
      <c r="F60" s="29"/>
      <c r="G60" s="29"/>
    </row>
    <row r="61" ht="6" customHeight="1">
      <c r="B61" s="27">
        <f>IFERROR(Calc!O68,"")</f>
        <v>1</v>
      </c>
      <c r="C61" s="29"/>
      <c r="D61" s="29"/>
      <c r="E61" s="29"/>
      <c r="F61" s="29"/>
      <c r="G61" s="29"/>
    </row>
    <row r="62" ht="6" customHeight="1">
      <c r="B62" s="27">
        <f>IFERROR(Calc!O69,"")</f>
        <v>1</v>
      </c>
      <c r="C62" s="29"/>
      <c r="D62" s="29"/>
      <c r="E62" s="29"/>
      <c r="F62" s="29"/>
      <c r="G62" s="29"/>
    </row>
    <row r="63" ht="6" customHeight="1">
      <c r="B63" s="27">
        <f>IFERROR(Calc!O70,"")</f>
        <v>2</v>
      </c>
      <c r="C63" s="29"/>
      <c r="D63" s="29"/>
      <c r="E63" s="29"/>
      <c r="F63" s="29"/>
      <c r="G63" s="29"/>
    </row>
    <row r="64" ht="6" customHeight="1">
      <c r="B64" s="27">
        <f>IFERROR(Calc!O71,"")</f>
        <v>2</v>
      </c>
      <c r="C64" s="29"/>
      <c r="D64" s="29"/>
      <c r="E64" s="29"/>
      <c r="F64" s="29"/>
      <c r="G64" s="29"/>
    </row>
    <row r="65" ht="6" customHeight="1">
      <c r="B65" s="27">
        <f>IFERROR(Calc!O72,"")</f>
        <v>3</v>
      </c>
      <c r="C65" s="29"/>
      <c r="D65" s="29"/>
      <c r="E65" s="29"/>
      <c r="F65" s="29"/>
      <c r="G65" s="29"/>
    </row>
    <row r="66" ht="6" customHeight="1">
      <c r="B66" s="27">
        <f>IFERROR(Calc!O73,"")</f>
        <v>4</v>
      </c>
      <c r="C66" s="29"/>
      <c r="D66" s="29"/>
      <c r="E66" s="29"/>
      <c r="F66" s="29"/>
      <c r="G66" s="29"/>
    </row>
    <row r="67" ht="6" customHeight="1">
      <c r="A67" s="28">
        <f>ROUND(LD_Top+60*LD_Step,6)</f>
        <v>5060</v>
      </c>
      <c r="B67" s="27">
        <f>IFERROR(Calc!O74,"")</f>
        <v>4</v>
      </c>
      <c r="C67" s="29"/>
      <c r="D67" s="29"/>
      <c r="E67" s="29"/>
      <c r="F67" s="29"/>
      <c r="G67" s="29"/>
    </row>
    <row r="68" ht="6" customHeight="1">
      <c r="B68" s="27">
        <f>IFERROR(Calc!O75,"")</f>
        <v>4</v>
      </c>
      <c r="C68" s="29"/>
      <c r="D68" s="29"/>
      <c r="E68" s="29"/>
      <c r="F68" s="29"/>
      <c r="G68" s="29"/>
    </row>
    <row r="69" ht="6" customHeight="1">
      <c r="B69" s="27">
        <f>IFERROR(Calc!O76,"")</f>
        <v>4</v>
      </c>
      <c r="C69" s="29"/>
      <c r="D69" s="29"/>
      <c r="E69" s="29"/>
      <c r="F69" s="29"/>
      <c r="G69" s="29"/>
    </row>
    <row r="70" ht="6" customHeight="1">
      <c r="B70" s="27">
        <f>IFERROR(Calc!O77,"")</f>
        <v>4</v>
      </c>
      <c r="C70" s="29"/>
      <c r="D70" s="29"/>
      <c r="E70" s="29"/>
      <c r="F70" s="29"/>
      <c r="G70" s="29"/>
    </row>
    <row r="71" ht="6" customHeight="1">
      <c r="B71" s="27">
        <f>IFERROR(Calc!O78,"")</f>
        <v>4</v>
      </c>
      <c r="C71" s="29"/>
      <c r="D71" s="29"/>
      <c r="E71" s="29"/>
      <c r="F71" s="29"/>
      <c r="G71" s="29"/>
    </row>
    <row r="72" ht="6" customHeight="1">
      <c r="B72" s="27">
        <f>IFERROR(Calc!O79,"")</f>
        <v>4</v>
      </c>
      <c r="C72" s="29"/>
      <c r="D72" s="29"/>
      <c r="E72" s="29"/>
      <c r="F72" s="29"/>
      <c r="G72" s="29"/>
    </row>
    <row r="73" ht="6" customHeight="1">
      <c r="B73" s="27">
        <f>IFERROR(Calc!O80,"")</f>
        <v>4</v>
      </c>
      <c r="C73" s="29"/>
      <c r="D73" s="29"/>
      <c r="E73" s="29"/>
      <c r="F73" s="29"/>
      <c r="G73" s="29"/>
    </row>
    <row r="74" ht="6" customHeight="1">
      <c r="B74" s="27">
        <f>IFERROR(Calc!O81,"")</f>
        <v>4</v>
      </c>
      <c r="C74" s="29"/>
      <c r="D74" s="29"/>
      <c r="E74" s="29"/>
      <c r="F74" s="29"/>
      <c r="G74" s="29"/>
    </row>
    <row r="75" ht="6" customHeight="1">
      <c r="B75" s="27">
        <f>IFERROR(Calc!O82,"")</f>
        <v>4</v>
      </c>
      <c r="C75" s="29"/>
      <c r="D75" s="29"/>
      <c r="E75" s="29"/>
      <c r="F75" s="29"/>
      <c r="G75" s="29"/>
    </row>
    <row r="76" ht="6" customHeight="1">
      <c r="B76" s="27">
        <f>IFERROR(Calc!O83,"")</f>
        <v>4</v>
      </c>
      <c r="C76" s="29"/>
      <c r="D76" s="29"/>
      <c r="E76" s="29"/>
      <c r="F76" s="29"/>
      <c r="G76" s="29"/>
    </row>
    <row r="77" ht="6" customHeight="1">
      <c r="A77" s="28">
        <f>ROUND(LD_Top+70*LD_Step,6)</f>
        <v>5070</v>
      </c>
      <c r="B77" s="27">
        <f>IFERROR(Calc!O84,"")</f>
        <v>3</v>
      </c>
      <c r="C77" s="29"/>
      <c r="D77" s="29"/>
      <c r="E77" s="29"/>
      <c r="F77" s="29"/>
      <c r="G77" s="29"/>
    </row>
    <row r="78" ht="6" customHeight="1">
      <c r="B78" s="27">
        <f>IFERROR(Calc!O85,"")</f>
        <v>3</v>
      </c>
      <c r="C78" s="29"/>
      <c r="D78" s="29"/>
      <c r="E78" s="29"/>
      <c r="F78" s="29"/>
      <c r="G78" s="29"/>
    </row>
    <row r="79" ht="6" customHeight="1">
      <c r="B79" s="27">
        <f>IFERROR(Calc!O86,"")</f>
        <v>1</v>
      </c>
      <c r="C79" s="29"/>
      <c r="D79" s="29"/>
      <c r="E79" s="29"/>
      <c r="F79" s="29"/>
      <c r="G79" s="29"/>
    </row>
    <row r="80" ht="6" customHeight="1">
      <c r="B80" s="27">
        <f>IFERROR(Calc!O87,"")</f>
        <v>0</v>
      </c>
      <c r="C80" s="29"/>
      <c r="D80" s="29"/>
      <c r="E80" s="29"/>
      <c r="F80" s="29"/>
      <c r="G80" s="29"/>
    </row>
    <row r="81" ht="6" customHeight="1">
      <c r="B81" s="27">
        <f>IFERROR(Calc!O88,"")</f>
        <v>0</v>
      </c>
      <c r="C81" s="29"/>
      <c r="D81" s="29"/>
      <c r="E81" s="29"/>
      <c r="F81" s="29"/>
      <c r="G81" s="29"/>
    </row>
    <row r="82" ht="6" customHeight="1">
      <c r="B82" s="27">
        <f>IFERROR(Calc!O89,"")</f>
        <v>0</v>
      </c>
      <c r="C82" s="29"/>
      <c r="D82" s="29"/>
      <c r="E82" s="29"/>
      <c r="F82" s="29"/>
      <c r="G82" s="29"/>
    </row>
    <row r="83" ht="6" customHeight="1">
      <c r="B83" s="27">
        <f>IFERROR(Calc!O90,"")</f>
        <v>0</v>
      </c>
      <c r="C83" s="29"/>
      <c r="D83" s="29"/>
      <c r="E83" s="29"/>
      <c r="F83" s="29"/>
      <c r="G83" s="29"/>
    </row>
    <row r="84" ht="6" customHeight="1">
      <c r="B84" s="27">
        <f>IFERROR(Calc!O91,"")</f>
        <v>0</v>
      </c>
      <c r="C84" s="29"/>
      <c r="D84" s="29"/>
      <c r="E84" s="29"/>
      <c r="F84" s="29"/>
      <c r="G84" s="29"/>
    </row>
    <row r="85" ht="6" customHeight="1">
      <c r="B85" s="27">
        <f>IFERROR(Calc!O92,"")</f>
        <v>0</v>
      </c>
      <c r="C85" s="29"/>
      <c r="D85" s="29"/>
      <c r="E85" s="29"/>
      <c r="F85" s="29"/>
      <c r="G85" s="29"/>
    </row>
    <row r="86" ht="6" customHeight="1">
      <c r="B86" s="27">
        <f>IFERROR(Calc!O93,"")</f>
        <v>0</v>
      </c>
      <c r="C86" s="29"/>
      <c r="D86" s="29"/>
      <c r="E86" s="29"/>
      <c r="F86" s="29"/>
      <c r="G86" s="29"/>
    </row>
    <row r="87" ht="6" customHeight="1">
      <c r="A87" s="28">
        <f>ROUND(LD_Top+80*LD_Step,6)</f>
        <v>5080</v>
      </c>
      <c r="B87" s="27">
        <f>IFERROR(Calc!O94,"")</f>
        <v>0</v>
      </c>
      <c r="C87" s="29"/>
      <c r="D87" s="29"/>
      <c r="E87" s="29"/>
      <c r="F87" s="29"/>
      <c r="G87" s="29"/>
    </row>
    <row r="88" ht="6" customHeight="1">
      <c r="B88" s="27">
        <f>IFERROR(Calc!O95,"")</f>
        <v>0</v>
      </c>
      <c r="C88" s="29"/>
      <c r="D88" s="29"/>
      <c r="E88" s="29"/>
      <c r="F88" s="29"/>
      <c r="G88" s="29"/>
    </row>
    <row r="89" ht="6" customHeight="1">
      <c r="B89" s="27">
        <f>IFERROR(Calc!O96,"")</f>
        <v>0</v>
      </c>
      <c r="C89" s="29"/>
      <c r="D89" s="29"/>
      <c r="E89" s="29"/>
      <c r="F89" s="29"/>
      <c r="G89" s="29"/>
    </row>
    <row r="90" ht="6" customHeight="1">
      <c r="B90" s="27">
        <f>IFERROR(Calc!O97,"")</f>
        <v>0</v>
      </c>
      <c r="C90" s="29"/>
      <c r="D90" s="29"/>
      <c r="E90" s="29"/>
      <c r="F90" s="29"/>
      <c r="G90" s="29"/>
    </row>
    <row r="91" ht="6" customHeight="1">
      <c r="B91" s="27">
        <f>IFERROR(Calc!O98,"")</f>
        <v>0</v>
      </c>
      <c r="C91" s="29"/>
      <c r="D91" s="29"/>
      <c r="E91" s="29"/>
      <c r="F91" s="29"/>
      <c r="G91" s="29"/>
    </row>
    <row r="92" ht="6" customHeight="1">
      <c r="B92" s="27">
        <f>IFERROR(Calc!O99,"")</f>
        <v>0</v>
      </c>
      <c r="C92" s="29"/>
      <c r="D92" s="29"/>
      <c r="E92" s="29"/>
      <c r="F92" s="29"/>
      <c r="G92" s="29"/>
    </row>
    <row r="93" ht="6" customHeight="1">
      <c r="B93" s="27">
        <f>IFERROR(Calc!O100,"")</f>
        <v>0</v>
      </c>
      <c r="C93" s="29"/>
      <c r="D93" s="29"/>
      <c r="E93" s="29"/>
      <c r="F93" s="29"/>
      <c r="G93" s="29"/>
    </row>
    <row r="94" ht="6" customHeight="1">
      <c r="B94" s="27">
        <f>IFERROR(Calc!O101,"")</f>
        <v>0</v>
      </c>
      <c r="C94" s="29"/>
      <c r="D94" s="29"/>
      <c r="E94" s="29"/>
      <c r="F94" s="29"/>
      <c r="G94" s="29"/>
    </row>
    <row r="95" ht="6" customHeight="1">
      <c r="B95" s="27">
        <f>IFERROR(Calc!O102,"")</f>
        <v>0</v>
      </c>
      <c r="C95" s="29"/>
      <c r="D95" s="29"/>
      <c r="E95" s="29"/>
      <c r="F95" s="29"/>
      <c r="G95" s="29"/>
    </row>
    <row r="96" ht="6" customHeight="1">
      <c r="B96" s="27">
        <f>IFERROR(Calc!O103,"")</f>
        <v>0</v>
      </c>
      <c r="C96" s="29"/>
      <c r="D96" s="29"/>
      <c r="E96" s="29"/>
      <c r="F96" s="29"/>
      <c r="G96" s="29"/>
    </row>
    <row r="97" ht="6" customHeight="1">
      <c r="A97" s="28">
        <f>ROUND(LD_Top+90*LD_Step,6)</f>
        <v>5090</v>
      </c>
      <c r="B97" s="27">
        <f>IFERROR(Calc!O104,"")</f>
        <v>0</v>
      </c>
      <c r="C97" s="29"/>
      <c r="D97" s="29"/>
      <c r="E97" s="29"/>
      <c r="F97" s="29"/>
      <c r="G97" s="29"/>
    </row>
    <row r="98" ht="6" customHeight="1">
      <c r="B98" s="27">
        <f>IFERROR(Calc!O105,"")</f>
        <v>0</v>
      </c>
      <c r="C98" s="29"/>
      <c r="D98" s="29"/>
      <c r="E98" s="29"/>
      <c r="F98" s="29"/>
      <c r="G98" s="29"/>
    </row>
    <row r="99" ht="6" customHeight="1">
      <c r="B99" s="27">
        <f>IFERROR(Calc!O106,"")</f>
        <v>0</v>
      </c>
      <c r="C99" s="29"/>
      <c r="D99" s="29"/>
      <c r="E99" s="29"/>
      <c r="F99" s="29"/>
      <c r="G99" s="29"/>
    </row>
    <row r="100" ht="6" customHeight="1">
      <c r="B100" s="27">
        <f>IFERROR(Calc!O107,"")</f>
        <v>0</v>
      </c>
      <c r="C100" s="29"/>
      <c r="D100" s="29"/>
      <c r="E100" s="29"/>
      <c r="F100" s="29"/>
      <c r="G100" s="29"/>
    </row>
    <row r="101" ht="6" customHeight="1">
      <c r="B101" s="27">
        <f>IFERROR(Calc!O108,"")</f>
        <v>0</v>
      </c>
      <c r="C101" s="29"/>
      <c r="D101" s="29"/>
      <c r="E101" s="29"/>
      <c r="F101" s="29"/>
      <c r="G101" s="29"/>
    </row>
    <row r="102" ht="6" customHeight="1">
      <c r="B102" s="27">
        <f>IFERROR(Calc!O109,"")</f>
        <v>0</v>
      </c>
      <c r="C102" s="29"/>
      <c r="D102" s="29"/>
      <c r="E102" s="29"/>
      <c r="F102" s="29"/>
      <c r="G102" s="29"/>
    </row>
    <row r="103" ht="6" customHeight="1">
      <c r="B103" s="27">
        <f>IFERROR(Calc!O110,"")</f>
        <v>0</v>
      </c>
      <c r="C103" s="29"/>
      <c r="D103" s="29"/>
      <c r="E103" s="29"/>
      <c r="F103" s="29"/>
      <c r="G103" s="29"/>
    </row>
    <row r="104" ht="6" customHeight="1">
      <c r="B104" s="27">
        <f>IFERROR(Calc!O111,"")</f>
        <v>0</v>
      </c>
      <c r="C104" s="29"/>
      <c r="D104" s="29"/>
      <c r="E104" s="29"/>
      <c r="F104" s="29"/>
      <c r="G104" s="29"/>
    </row>
    <row r="105" ht="6" customHeight="1">
      <c r="B105" s="27">
        <f>IFERROR(Calc!O112,"")</f>
        <v>1</v>
      </c>
      <c r="C105" s="29"/>
      <c r="D105" s="29"/>
      <c r="E105" s="29"/>
      <c r="F105" s="29"/>
      <c r="G105" s="29"/>
    </row>
    <row r="106" ht="6" customHeight="1">
      <c r="B106" s="27">
        <f>IFERROR(Calc!O113,"")</f>
        <v>1</v>
      </c>
      <c r="C106" s="29"/>
      <c r="D106" s="29"/>
      <c r="E106" s="29"/>
      <c r="F106" s="29"/>
      <c r="G106" s="29"/>
    </row>
    <row r="107" ht="6" customHeight="1">
      <c r="A107" s="28">
        <f>ROUND(LD_Top+100*LD_Step,6)</f>
        <v>5100</v>
      </c>
      <c r="B107" s="27">
        <f>IFERROR(Calc!O114,"")</f>
        <v>3</v>
      </c>
      <c r="C107" s="29"/>
      <c r="D107" s="29"/>
      <c r="E107" s="29"/>
      <c r="F107" s="29"/>
      <c r="G107" s="29"/>
    </row>
    <row r="108" ht="6" customHeight="1">
      <c r="B108" s="27">
        <f>IFERROR(Calc!O115,"")</f>
        <v>4</v>
      </c>
      <c r="C108" s="29"/>
      <c r="D108" s="29"/>
      <c r="E108" s="29"/>
      <c r="F108" s="29"/>
      <c r="G108" s="29"/>
    </row>
    <row r="109" ht="6" customHeight="1">
      <c r="B109" s="27">
        <f>IFERROR(Calc!O116,"")</f>
        <v>4</v>
      </c>
      <c r="C109" s="29"/>
      <c r="D109" s="29"/>
      <c r="E109" s="29"/>
      <c r="F109" s="29"/>
      <c r="G109" s="29"/>
    </row>
    <row r="110" ht="6" customHeight="1">
      <c r="B110" s="27">
        <f>IFERROR(Calc!O117,"")</f>
        <v>4</v>
      </c>
      <c r="C110" s="29"/>
      <c r="D110" s="29"/>
      <c r="E110" s="29"/>
      <c r="F110" s="29"/>
      <c r="G110" s="29"/>
    </row>
    <row r="111" ht="6" customHeight="1">
      <c r="B111" s="27">
        <f>IFERROR(Calc!O118,"")</f>
        <v>4</v>
      </c>
      <c r="C111" s="29"/>
      <c r="D111" s="29"/>
      <c r="E111" s="29"/>
      <c r="F111" s="29"/>
      <c r="G111" s="29"/>
    </row>
    <row r="112" ht="6" customHeight="1">
      <c r="B112" s="27">
        <f>IFERROR(Calc!O119,"")</f>
        <v>4</v>
      </c>
      <c r="C112" s="29"/>
      <c r="D112" s="29"/>
      <c r="E112" s="29"/>
      <c r="F112" s="29"/>
      <c r="G112" s="29"/>
    </row>
    <row r="113" ht="6" customHeight="1">
      <c r="B113" s="27">
        <f>IFERROR(Calc!O120,"")</f>
        <v>4</v>
      </c>
      <c r="C113" s="29"/>
      <c r="D113" s="29"/>
      <c r="E113" s="29"/>
      <c r="F113" s="29"/>
      <c r="G113" s="29"/>
    </row>
    <row r="114" ht="6" customHeight="1">
      <c r="B114" s="27">
        <f>IFERROR(Calc!O121,"")</f>
        <v>4</v>
      </c>
      <c r="C114" s="29"/>
      <c r="D114" s="29"/>
      <c r="E114" s="29"/>
      <c r="F114" s="29"/>
      <c r="G114" s="29"/>
    </row>
    <row r="115" ht="6" customHeight="1">
      <c r="B115" s="27">
        <f>IFERROR(Calc!O122,"")</f>
        <v>4</v>
      </c>
      <c r="C115" s="29"/>
      <c r="D115" s="29"/>
      <c r="E115" s="29"/>
      <c r="F115" s="29"/>
      <c r="G115" s="29"/>
    </row>
    <row r="116" ht="6" customHeight="1">
      <c r="B116" s="27">
        <f>IFERROR(Calc!O123,"")</f>
        <v>4</v>
      </c>
      <c r="C116" s="29"/>
      <c r="D116" s="29"/>
      <c r="E116" s="29"/>
      <c r="F116" s="29"/>
      <c r="G116" s="29"/>
    </row>
    <row r="117" ht="6" customHeight="1">
      <c r="A117" s="28">
        <f>ROUND(LD_Top+110*LD_Step,6)</f>
        <v>5110</v>
      </c>
      <c r="B117" s="27">
        <f>IFERROR(Calc!O124,"")</f>
        <v>4</v>
      </c>
      <c r="C117" s="29"/>
      <c r="D117" s="29"/>
      <c r="E117" s="29"/>
      <c r="F117" s="29"/>
      <c r="G117" s="29"/>
    </row>
    <row r="118" ht="6" customHeight="1">
      <c r="B118" s="27">
        <f>IFERROR(Calc!O125,"")</f>
        <v>4</v>
      </c>
      <c r="C118" s="29"/>
      <c r="D118" s="29"/>
      <c r="E118" s="29"/>
      <c r="F118" s="29"/>
      <c r="G118" s="29"/>
    </row>
    <row r="119" ht="6" customHeight="1">
      <c r="B119" s="27">
        <f>IFERROR(Calc!O126,"")</f>
        <v>4</v>
      </c>
      <c r="C119" s="29"/>
      <c r="D119" s="29"/>
      <c r="E119" s="29"/>
      <c r="F119" s="29"/>
      <c r="G119" s="29"/>
    </row>
    <row r="120" ht="6" customHeight="1">
      <c r="B120" s="27">
        <f>IFERROR(Calc!O127,"")</f>
        <v>4</v>
      </c>
      <c r="C120" s="29"/>
      <c r="D120" s="29"/>
      <c r="E120" s="29"/>
      <c r="F120" s="29"/>
      <c r="G120" s="29"/>
    </row>
    <row r="121" ht="6" customHeight="1">
      <c r="B121" s="27">
        <f>IFERROR(Calc!O128,"")</f>
        <v>4</v>
      </c>
      <c r="C121" s="29"/>
      <c r="D121" s="29"/>
      <c r="E121" s="29"/>
      <c r="F121" s="29"/>
      <c r="G121" s="29"/>
    </row>
    <row r="122" ht="6" customHeight="1">
      <c r="B122" s="27">
        <f>IFERROR(Calc!O129,"")</f>
        <v>4</v>
      </c>
      <c r="C122" s="29"/>
      <c r="D122" s="29"/>
      <c r="E122" s="29"/>
      <c r="F122" s="29"/>
      <c r="G122" s="29"/>
    </row>
    <row r="123" ht="6" customHeight="1">
      <c r="B123" s="27">
        <f>IFERROR(Calc!O130,"")</f>
        <v>4</v>
      </c>
      <c r="C123" s="29"/>
      <c r="D123" s="29"/>
      <c r="E123" s="29"/>
      <c r="F123" s="29"/>
      <c r="G123" s="29"/>
    </row>
    <row r="124" ht="6" customHeight="1">
      <c r="B124" s="27">
        <f>IFERROR(Calc!O131,"")</f>
        <v>4</v>
      </c>
      <c r="C124" s="29"/>
      <c r="D124" s="29"/>
      <c r="E124" s="29"/>
      <c r="F124" s="29"/>
      <c r="G124" s="29"/>
    </row>
    <row r="125" ht="6" customHeight="1">
      <c r="B125" s="27">
        <f>IFERROR(Calc!O132,"")</f>
        <v>4</v>
      </c>
      <c r="C125" s="29"/>
      <c r="D125" s="29"/>
      <c r="E125" s="29"/>
      <c r="F125" s="29"/>
      <c r="G125" s="29"/>
    </row>
    <row r="126" ht="6" customHeight="1">
      <c r="B126" s="27">
        <f>IFERROR(Calc!O133,"")</f>
        <v>4</v>
      </c>
      <c r="C126" s="31"/>
      <c r="D126" s="31"/>
      <c r="E126" s="31"/>
      <c r="F126" s="31"/>
      <c r="G126" s="31"/>
    </row>
  </sheetData>
  <mergeCells>
    <mergeCell ref="A3:J3"/>
    <mergeCell ref="A7:A16"/>
    <mergeCell ref="A17:A26"/>
    <mergeCell ref="A27:A36"/>
    <mergeCell ref="A37:A46"/>
    <mergeCell ref="A47:A56"/>
    <mergeCell ref="A57:A66"/>
    <mergeCell ref="A67:A76"/>
    <mergeCell ref="A77:A86"/>
    <mergeCell ref="A87:A96"/>
    <mergeCell ref="A97:A106"/>
    <mergeCell ref="A107:A116"/>
    <mergeCell ref="A117:A126"/>
    <mergeCell ref="I7:I8"/>
    <mergeCell ref="J7:J8"/>
    <mergeCell ref="I9:I10"/>
    <mergeCell ref="J9:J10"/>
    <mergeCell ref="I11:I12"/>
    <mergeCell ref="J11:J12"/>
    <mergeCell ref="I13:I14"/>
    <mergeCell ref="J13:J14"/>
    <mergeCell ref="I15:I16"/>
    <mergeCell ref="J15:J16"/>
    <mergeCell ref="I17:I18"/>
    <mergeCell ref="J17:J18"/>
    <mergeCell ref="I19:I20"/>
    <mergeCell ref="J19:J20"/>
    <mergeCell ref="I21:I22"/>
    <mergeCell ref="J21:J22"/>
    <mergeCell ref="I23:I24"/>
    <mergeCell ref="J23:J24"/>
    <mergeCell ref="I25:I26"/>
    <mergeCell ref="J25:J26"/>
    <mergeCell ref="I27:I28"/>
    <mergeCell ref="J27:J28"/>
  </mergeCells>
  <conditionalFormatting sqref="A3:J3">
    <cfRule type="expression" dxfId="3" priority="1">
      <formula>LD_Problems&gt;0</formula>
    </cfRule>
  </conditionalFormatting>
  <conditionalFormatting sqref="C7:G126">
    <cfRule type="expression" dxfId="4" priority="2">
      <formula>MOD(ROW()-7,10)=0</formula>
    </cfRule>
  </conditionalFormatting>
  <conditionalFormatting sqref="E7:E126">
    <cfRule type="expression" dxfId="5" priority="3" stopIfTrue="1">
      <formula>$B7=0</formula>
    </cfRule>
    <cfRule type="expression" dxfId="6" priority="4" stopIfTrue="1">
      <formula>$B7=1</formula>
    </cfRule>
    <cfRule type="expression" dxfId="7" priority="5" stopIfTrue="1">
      <formula>$B7=2</formula>
    </cfRule>
    <cfRule type="expression" dxfId="8" priority="6" stopIfTrue="1">
      <formula>$B7=3</formula>
    </cfRule>
    <cfRule type="expression" dxfId="9" priority="7" stopIfTrue="1">
      <formula>$B7=4</formula>
    </cfRule>
  </conditionalFormatting>
  <pageSetup orientation="portrait" fitToWidth="1" fitToHeight="1"/>
  <headerFooter/>
  <drawing r:id="rId1"/>
</worksheet>
</file>

<file path=xl/worksheets/sheet5.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B133"/>
  <sheetViews>
    <sheetView workbookViewId="0"/>
  </sheetViews>
  <sheetFormatPr defaultRowHeight="15"/>
  <cols>
    <col min="1" max="1" width="44" customWidth="1"/>
    <col min="2" max="2" width="14"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3"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3" customWidth="1"/>
  </cols>
  <sheetData>
    <row r="1">
      <c r="A1" s="2" t="s">
        <v>92</v>
      </c>
    </row>
    <row r="2" ht="30" customHeight="1">
      <c r="A2" s="5" t="s">
        <v>93</v>
      </c>
      <c r="B2" s="5"/>
      <c r="C2" s="5"/>
      <c r="D2" s="5"/>
      <c r="E2" s="5"/>
      <c r="F2" s="5"/>
      <c r="G2" s="5"/>
      <c r="H2" s="5"/>
    </row>
    <row r="3">
      <c r="A3" s="0" t="s">
        <v>94</v>
      </c>
      <c r="B3" s="8">
        <f>COUNT(LD_Depth)</f>
        <v>241</v>
      </c>
    </row>
    <row r="4">
      <c r="A4" s="0" t="s">
        <v>95</v>
      </c>
      <c r="B4" s="18">
        <f>IF(LD_N&gt;0,INDEX(LD_Depth,1),0)</f>
        <v>5000</v>
      </c>
    </row>
    <row r="5">
      <c r="A5" s="0" t="s">
        <v>96</v>
      </c>
      <c r="B5" s="18">
        <f>IF(LD_N&gt;0,INDEX(LD_Depth,LD_N),0)</f>
        <v>5120</v>
      </c>
    </row>
    <row r="6">
      <c r="A6" s="0" t="s">
        <v>97</v>
      </c>
      <c r="B6" s="18">
        <f>IF(LD_WinTop&gt;0,LD_WinTop,LD_First)</f>
        <v>5000</v>
      </c>
    </row>
    <row r="7">
      <c r="A7" s="0" t="s">
        <v>98</v>
      </c>
      <c r="B7" s="18">
        <f>LD_Top+120*LD_Step</f>
        <v>5120</v>
      </c>
    </row>
    <row r="8">
      <c r="A8" s="0" t="s">
        <v>99</v>
      </c>
      <c r="B8" s="14">
        <f>IF(LD_RMin&gt;0,INT(LOG10(LD_RMin)),0)</f>
        <v>-1</v>
      </c>
    </row>
    <row r="9">
      <c r="A9" s="0" t="s">
        <v>100</v>
      </c>
      <c r="B9" s="19">
        <f>IF(LD_RMin&gt;0,LOG10(LD_RMin),0)</f>
        <v>-0.6989700043360187</v>
      </c>
    </row>
    <row r="10">
      <c r="A10" s="0" t="s">
        <v>101</v>
      </c>
      <c r="B10" s="19">
        <f>IF(AND(LD_RMin&gt;0,LD_RMax&gt;LD_RMin),LOG10(LD_RMax)-LD_RLog0,1)</f>
        <v>4</v>
      </c>
    </row>
    <row r="12">
      <c r="A12" s="20" t="s">
        <v>102</v>
      </c>
      <c r="B12" s="20"/>
      <c r="C12" s="20"/>
      <c r="D12" s="20"/>
      <c r="E12" s="20" t="s">
        <v>103</v>
      </c>
      <c r="F12" s="20"/>
      <c r="G12" s="20"/>
      <c r="H12" s="20"/>
      <c r="I12" s="20"/>
      <c r="J12" s="20"/>
      <c r="K12" s="20" t="s">
        <v>104</v>
      </c>
      <c r="L12" s="20"/>
      <c r="M12" s="20"/>
      <c r="N12" s="20"/>
      <c r="O12" s="20"/>
      <c r="P12" s="20"/>
      <c r="Q12" s="20"/>
      <c r="R12" s="20"/>
      <c r="S12" s="20"/>
      <c r="T12" s="20"/>
      <c r="U12" s="20"/>
      <c r="V12" s="20"/>
      <c r="W12" s="20"/>
      <c r="Y12" s="20" t="s">
        <v>105</v>
      </c>
      <c r="Z12" s="20"/>
      <c r="AA12" s="20"/>
      <c r="AB12" s="20"/>
    </row>
    <row r="13" ht="45" customHeight="1">
      <c r="A13" s="21" t="s">
        <v>106</v>
      </c>
      <c r="B13" s="21" t="s">
        <v>107</v>
      </c>
      <c r="C13" s="21" t="s">
        <v>108</v>
      </c>
      <c r="D13" s="21" t="s">
        <v>109</v>
      </c>
      <c r="E13" s="21" t="s">
        <v>70</v>
      </c>
      <c r="F13" s="21" t="s">
        <v>71</v>
      </c>
      <c r="G13" s="21" t="s">
        <v>72</v>
      </c>
      <c r="H13" s="21" t="s">
        <v>73</v>
      </c>
      <c r="I13" s="21" t="s">
        <v>74</v>
      </c>
      <c r="J13" s="21" t="s">
        <v>81</v>
      </c>
      <c r="K13" s="21" t="s">
        <v>110</v>
      </c>
      <c r="L13" s="21" t="s">
        <v>111</v>
      </c>
      <c r="M13" s="21" t="s">
        <v>112</v>
      </c>
      <c r="N13" s="21" t="s">
        <v>113</v>
      </c>
      <c r="O13" s="21" t="s">
        <v>114</v>
      </c>
      <c r="P13" s="21" t="s">
        <v>115</v>
      </c>
      <c r="Q13" s="21" t="s">
        <v>116</v>
      </c>
      <c r="R13" s="21" t="s">
        <v>117</v>
      </c>
      <c r="S13" s="21" t="s">
        <v>118</v>
      </c>
      <c r="T13" s="21" t="s">
        <v>119</v>
      </c>
      <c r="U13" s="21" t="s">
        <v>120</v>
      </c>
      <c r="V13" s="21" t="s">
        <v>121</v>
      </c>
      <c r="W13" s="21" t="s">
        <v>122</v>
      </c>
      <c r="Y13" s="21" t="s">
        <v>123</v>
      </c>
      <c r="Z13" s="21" t="s">
        <v>124</v>
      </c>
      <c r="AA13" s="21" t="s">
        <v>125</v>
      </c>
      <c r="AB13" s="21" t="s">
        <v>126</v>
      </c>
    </row>
    <row r="14">
      <c r="A14" s="0">
        <v>0</v>
      </c>
      <c r="B14" s="18">
        <f>LD_Top+(A14+0.5)*LD_Step</f>
        <v>5000.5</v>
      </c>
      <c r="C14" s="0">
        <f>IF(OR(LD_N&lt;2,B14&lt;LD_First,B14&gt;LD_Last),0,MIN(MATCH(B14,LD_Depth,1),LD_N-1))</f>
        <v>2</v>
      </c>
      <c r="D14" s="19">
        <f>IF(C14=0,0,(B14-INDEX(LD_Depth,C14))/(INDEX(LD_Depth,C14+1)-INDEX(LD_Depth,C14)))</f>
        <v>0</v>
      </c>
      <c r="E14" s="0">
        <f>IF(C14=0,NA(),IF(AND(IF(ISNUMBER(INDEX(LD_SP,C14)),INDEX(LD_SP,C14)&lt;&gt;LD_Null,FALSE),OR(D14=0,IF(ISNUMBER(INDEX(LD_SP,C14+1)),INDEX(LD_SP,C14+1)&lt;&gt;LD_Null,FALSE))),IF(D14=0,INDEX(LD_SP,C14),INDEX(LD_SP,C14)+D14*(INDEX(LD_SP,C14+1)-INDEX(LD_SP,C14))),NA()))</f>
        <v>-14.1</v>
      </c>
      <c r="F14" s="0">
        <f>IF(C14=0,NA(),IF(AND(IF(ISNUMBER(INDEX(LD_GR,C14)),INDEX(LD_GR,C14)&lt;&gt;LD_Null,FALSE),OR(D14=0,IF(ISNUMBER(INDEX(LD_GR,C14+1)),INDEX(LD_GR,C14+1)&lt;&gt;LD_Null,FALSE))),IF(D14=0,INDEX(LD_GR,C14),INDEX(LD_GR,C14)+D14*(INDEX(LD_GR,C14+1)-INDEX(LD_GR,C14))),NA()))</f>
        <v>115.4</v>
      </c>
      <c r="G14" s="0">
        <f>IF(C14=0,NA(),IF(AND(IF(ISNUMBER(INDEX(LD_RS,C14)),AND(INDEX(LD_RS,C14)&lt;&gt;LD_Null,INDEX(LD_RS,C14)&gt;0),FALSE),OR(D14=0,IF(ISNUMBER(INDEX(LD_RS,C14+1)),AND(INDEX(LD_RS,C14+1)&lt;&gt;LD_Null,INDEX(LD_RS,C14+1)&gt;0),FALSE))),IF(D14=0,INDEX(LD_RS,C14),INDEX(LD_RS,C14)+D14*(INDEX(LD_RS,C14+1)-INDEX(LD_RS,C14))),NA()))</f>
        <v>2.04</v>
      </c>
      <c r="H14" s="0">
        <f>IF(C14=0,NA(),IF(AND(IF(ISNUMBER(INDEX(LD_RM,C14)),AND(INDEX(LD_RM,C14)&lt;&gt;LD_Null,INDEX(LD_RM,C14)&gt;0),FALSE),OR(D14=0,IF(ISNUMBER(INDEX(LD_RM,C14+1)),AND(INDEX(LD_RM,C14+1)&lt;&gt;LD_Null,INDEX(LD_RM,C14+1)&gt;0),FALSE))),IF(D14=0,INDEX(LD_RM,C14),INDEX(LD_RM,C14)+D14*(INDEX(LD_RM,C14+1)-INDEX(LD_RM,C14))),NA()))</f>
        <v>2.2</v>
      </c>
      <c r="I14" s="0">
        <f>IF(C14=0,NA(),IF(AND(IF(ISNUMBER(INDEX(LD_RD,C14)),AND(INDEX(LD_RD,C14)&lt;&gt;LD_Null,INDEX(LD_RD,C14)&gt;0),FALSE),OR(D14=0,IF(ISNUMBER(INDEX(LD_RD,C14+1)),AND(INDEX(LD_RD,C14+1)&lt;&gt;LD_Null,INDEX(LD_RD,C14+1)&gt;0),FALSE))),IF(D14=0,INDEX(LD_RD,C14),INDEX(LD_RD,C14)+D14*(INDEX(LD_RD,C14+1)-INDEX(LD_RD,C14))),NA()))</f>
        <v>2.48</v>
      </c>
      <c r="J14" s="19">
        <f>IF(ISNUMBER(F14),MAX(0,MIN(1,(F14-LD_GRClean)/(LD_GRShale-LD_GRClean))),NA())</f>
        <v>1</v>
      </c>
      <c r="K14" s="19">
        <f>IF(ISNUMBER(E14),(MAX(LD_SPMin,MIN(E14,LD_SPBase))-LD_SPMin)/(LD_SPMax-LD_SPMin),NA())</f>
        <v>0.85</v>
      </c>
      <c r="L14" s="19">
        <f>IF(ISNUMBER(E14),(LD_SPBase-MAX(LD_SPMin,MIN(E14,LD_SPBase)))/(LD_SPMax-LD_SPMin),NA())</f>
        <v>0</v>
      </c>
      <c r="M14" s="19">
        <f>IF(ISNUMBER(E14),(MIN(LD_SPMax,MAX(E14,LD_SPBase))-LD_SPBase)/(LD_SPMax-LD_SPMin),NA())</f>
        <v>0.009000000000000003</v>
      </c>
      <c r="N14" s="19">
        <f>IF(ISNUMBER(F14),MAX(0,MIN(1,(F14-LD_GRMin)/(LD_GRMax-LD_GRMin))),NA())</f>
        <v>0.7693333333333334</v>
      </c>
      <c r="O14" s="0">
        <f>IF(ISNUMBER(F14),(F14&gt;=LD_GRB1)+(F14&gt;=LD_GRB2)+(F14&gt;=LD_GRB3)+(F14&gt;=LD_GRB4),NA())</f>
        <v>4</v>
      </c>
      <c r="P14" s="19">
        <f>IF(ISNUMBER(O14),IF(O14=0,N14,0),NA())</f>
        <v>0</v>
      </c>
      <c r="Q14" s="19">
        <f>IF(ISNUMBER(O14),IF(O14=1,N14,0),NA())</f>
        <v>0</v>
      </c>
      <c r="R14" s="19">
        <f>IF(ISNUMBER(O14),IF(O14=2,N14,0),NA())</f>
        <v>0</v>
      </c>
      <c r="S14" s="19">
        <f>IF(ISNUMBER(O14),IF(O14=3,N14,0),NA())</f>
        <v>0</v>
      </c>
      <c r="T14" s="19">
        <f>IF(ISNUMBER(O14),IF(O14=4,N14,0),NA())</f>
        <v>0.7693333333333334</v>
      </c>
      <c r="U14" s="19">
        <f>IF(ISNUMBER(G14),MAX(0,MIN(1,(LOG10(G14)-LD_RLog0)/LD_RSpan)),NA())</f>
        <v>0.2521500429404794</v>
      </c>
      <c r="V14" s="19">
        <f>IF(ISNUMBER(H14),MAX(0,MIN(1,(LOG10(H14)-LD_RLog0)/LD_RSpan)),NA())</f>
        <v>0.26034817128955623</v>
      </c>
      <c r="W14" s="19">
        <f>IF(ISNUMBER(I14),MAX(0,MIN(1,(LOG10(I14)-LD_RLog0)/LD_RSpan)),NA())</f>
        <v>0.2733554212905588</v>
      </c>
      <c r="Y14" s="19">
        <f>MAX(0,MIN(1,(LD_Dec0+0-LD_RLog0)/LD_RSpan))</f>
        <v>0</v>
      </c>
      <c r="Z14" s="19">
        <v>-1.5</v>
      </c>
      <c r="AA14" s="19">
        <f>MAX(0,MIN(1,(LD_Dec0+0+LOG10(2)-LD_RLog0)/LD_RSpan))</f>
        <v>0</v>
      </c>
      <c r="AB14" s="19">
        <v>-1.5</v>
      </c>
    </row>
    <row r="15">
      <c r="A15" s="0">
        <v>1</v>
      </c>
      <c r="B15" s="18">
        <f>LD_Top+(A15+0.5)*LD_Step</f>
        <v>5001.5</v>
      </c>
      <c r="C15" s="0">
        <f>IF(OR(LD_N&lt;2,B15&lt;LD_First,B15&gt;LD_Last),0,MIN(MATCH(B15,LD_Depth,1),LD_N-1))</f>
        <v>4</v>
      </c>
      <c r="D15" s="19">
        <f>IF(C15=0,0,(B15-INDEX(LD_Depth,C15))/(INDEX(LD_Depth,C15+1)-INDEX(LD_Depth,C15)))</f>
        <v>0</v>
      </c>
      <c r="E15" s="0">
        <f>IF(C15=0,NA(),IF(AND(IF(ISNUMBER(INDEX(LD_SP,C15)),INDEX(LD_SP,C15)&lt;&gt;LD_Null,FALSE),OR(D15=0,IF(ISNUMBER(INDEX(LD_SP,C15+1)),INDEX(LD_SP,C15+1)&lt;&gt;LD_Null,FALSE))),IF(D15=0,INDEX(LD_SP,C15),INDEX(LD_SP,C15)+D15*(INDEX(LD_SP,C15+1)-INDEX(LD_SP,C15))),NA()))</f>
        <v>-14.4</v>
      </c>
      <c r="F15" s="0">
        <f>IF(C15=0,NA(),IF(AND(IF(ISNUMBER(INDEX(LD_GR,C15)),INDEX(LD_GR,C15)&lt;&gt;LD_Null,FALSE),OR(D15=0,IF(ISNUMBER(INDEX(LD_GR,C15+1)),INDEX(LD_GR,C15+1)&lt;&gt;LD_Null,FALSE))),IF(D15=0,INDEX(LD_GR,C15),INDEX(LD_GR,C15)+D15*(INDEX(LD_GR,C15+1)-INDEX(LD_GR,C15))),NA()))</f>
        <v>116.4</v>
      </c>
      <c r="G15" s="0">
        <f>IF(C15=0,NA(),IF(AND(IF(ISNUMBER(INDEX(LD_RS,C15)),AND(INDEX(LD_RS,C15)&lt;&gt;LD_Null,INDEX(LD_RS,C15)&gt;0),FALSE),OR(D15=0,IF(ISNUMBER(INDEX(LD_RS,C15+1)),AND(INDEX(LD_RS,C15+1)&lt;&gt;LD_Null,INDEX(LD_RS,C15+1)&gt;0),FALSE))),IF(D15=0,INDEX(LD_RS,C15),INDEX(LD_RS,C15)+D15*(INDEX(LD_RS,C15+1)-INDEX(LD_RS,C15))),NA()))</f>
        <v>1.99</v>
      </c>
      <c r="H15" s="0">
        <f>IF(C15=0,NA(),IF(AND(IF(ISNUMBER(INDEX(LD_RM,C15)),AND(INDEX(LD_RM,C15)&lt;&gt;LD_Null,INDEX(LD_RM,C15)&gt;0),FALSE),OR(D15=0,IF(ISNUMBER(INDEX(LD_RM,C15+1)),AND(INDEX(LD_RM,C15+1)&lt;&gt;LD_Null,INDEX(LD_RM,C15+1)&gt;0),FALSE))),IF(D15=0,INDEX(LD_RM,C15),INDEX(LD_RM,C15)+D15*(INDEX(LD_RM,C15+1)-INDEX(LD_RM,C15))),NA()))</f>
        <v>2.08</v>
      </c>
      <c r="I15" s="0">
        <f>IF(C15=0,NA(),IF(AND(IF(ISNUMBER(INDEX(LD_RD,C15)),AND(INDEX(LD_RD,C15)&lt;&gt;LD_Null,INDEX(LD_RD,C15)&gt;0),FALSE),OR(D15=0,IF(ISNUMBER(INDEX(LD_RD,C15+1)),AND(INDEX(LD_RD,C15+1)&lt;&gt;LD_Null,INDEX(LD_RD,C15+1)&gt;0),FALSE))),IF(D15=0,INDEX(LD_RD,C15),INDEX(LD_RD,C15)+D15*(INDEX(LD_RD,C15+1)-INDEX(LD_RD,C15))),NA()))</f>
        <v>2.16</v>
      </c>
      <c r="J15" s="19">
        <f>IF(ISNUMBER(F15),MAX(0,MIN(1,(F15-LD_GRClean)/(LD_GRShale-LD_GRClean))),NA())</f>
        <v>1</v>
      </c>
      <c r="K15" s="19">
        <f>IF(ISNUMBER(E15),(MAX(LD_SPMin,MIN(E15,LD_SPBase))-LD_SPMin)/(LD_SPMax-LD_SPMin),NA())</f>
        <v>0.85</v>
      </c>
      <c r="L15" s="19">
        <f>IF(ISNUMBER(E15),(LD_SPBase-MAX(LD_SPMin,MIN(E15,LD_SPBase)))/(LD_SPMax-LD_SPMin),NA())</f>
        <v>0</v>
      </c>
      <c r="M15" s="19">
        <f>IF(ISNUMBER(E15),(MIN(LD_SPMax,MAX(E15,LD_SPBase))-LD_SPBase)/(LD_SPMax-LD_SPMin),NA())</f>
        <v>0.005999999999999997</v>
      </c>
      <c r="N15" s="19">
        <f>IF(ISNUMBER(F15),MAX(0,MIN(1,(F15-LD_GRMin)/(LD_GRMax-LD_GRMin))),NA())</f>
        <v>0.776</v>
      </c>
      <c r="O15" s="0">
        <f>IF(ISNUMBER(F15),(F15&gt;=LD_GRB1)+(F15&gt;=LD_GRB2)+(F15&gt;=LD_GRB3)+(F15&gt;=LD_GRB4),NA())</f>
        <v>4</v>
      </c>
      <c r="P15" s="19">
        <f>IF(ISNUMBER(O15),IF(O15=0,N15,0),NA())</f>
        <v>0</v>
      </c>
      <c r="Q15" s="19">
        <f>IF(ISNUMBER(O15),IF(O15=1,N15,0),NA())</f>
        <v>0</v>
      </c>
      <c r="R15" s="19">
        <f>IF(ISNUMBER(O15),IF(O15=2,N15,0),NA())</f>
        <v>0</v>
      </c>
      <c r="S15" s="19">
        <f>IF(ISNUMBER(O15),IF(O15=3,N15,0),NA())</f>
        <v>0</v>
      </c>
      <c r="T15" s="19">
        <f>IF(ISNUMBER(O15),IF(O15=4,N15,0),NA())</f>
        <v>0.776</v>
      </c>
      <c r="U15" s="19">
        <f>IF(ISNUMBER(G15),MAX(0,MIN(1,(LOG10(G15)-LD_RLog0)/LD_RSpan)),NA())</f>
        <v>0.24945577018643134</v>
      </c>
      <c r="V15" s="19">
        <f>IF(ISNUMBER(H15),MAX(0,MIN(1,(LOG10(H15)-LD_RLog0)/LD_RSpan)),NA())</f>
        <v>0.25425833482469506</v>
      </c>
      <c r="W15" s="19">
        <f>IF(ISNUMBER(I15),MAX(0,MIN(1,(LOG10(I15)-LD_RLog0)/LD_RSpan)),NA())</f>
        <v>0.2583559388717374</v>
      </c>
      <c r="Y15" s="19">
        <f>MAX(0,MIN(1,(LD_Dec0+0-LD_RLog0)/LD_RSpan))</f>
        <v>0</v>
      </c>
      <c r="Z15" s="19">
        <v>120.5</v>
      </c>
      <c r="AA15" s="19">
        <f>MAX(0,MIN(1,(LD_Dec0+0+LOG10(2)-LD_RLog0)/LD_RSpan))</f>
        <v>0</v>
      </c>
      <c r="AB15" s="19">
        <v>120.5</v>
      </c>
    </row>
    <row r="16">
      <c r="A16" s="0">
        <v>2</v>
      </c>
      <c r="B16" s="18">
        <f>LD_Top+(A16+0.5)*LD_Step</f>
        <v>5002.5</v>
      </c>
      <c r="C16" s="0">
        <f>IF(OR(LD_N&lt;2,B16&lt;LD_First,B16&gt;LD_Last),0,MIN(MATCH(B16,LD_Depth,1),LD_N-1))</f>
        <v>6</v>
      </c>
      <c r="D16" s="19">
        <f>IF(C16=0,0,(B16-INDEX(LD_Depth,C16))/(INDEX(LD_Depth,C16+1)-INDEX(LD_Depth,C16)))</f>
        <v>0</v>
      </c>
      <c r="E16" s="0">
        <f>IF(C16=0,NA(),IF(AND(IF(ISNUMBER(INDEX(LD_SP,C16)),INDEX(LD_SP,C16)&lt;&gt;LD_Null,FALSE),OR(D16=0,IF(ISNUMBER(INDEX(LD_SP,C16+1)),INDEX(LD_SP,C16+1)&lt;&gt;LD_Null,FALSE))),IF(D16=0,INDEX(LD_SP,C16),INDEX(LD_SP,C16)+D16*(INDEX(LD_SP,C16+1)-INDEX(LD_SP,C16))),NA()))</f>
        <v>-16.2</v>
      </c>
      <c r="F16" s="0">
        <f>IF(C16=0,NA(),IF(AND(IF(ISNUMBER(INDEX(LD_GR,C16)),INDEX(LD_GR,C16)&lt;&gt;LD_Null,FALSE),OR(D16=0,IF(ISNUMBER(INDEX(LD_GR,C16+1)),INDEX(LD_GR,C16+1)&lt;&gt;LD_Null,FALSE))),IF(D16=0,INDEX(LD_GR,C16),INDEX(LD_GR,C16)+D16*(INDEX(LD_GR,C16+1)-INDEX(LD_GR,C16))),NA()))</f>
        <v>114.9</v>
      </c>
      <c r="G16" s="0">
        <f>IF(C16=0,NA(),IF(AND(IF(ISNUMBER(INDEX(LD_RS,C16)),AND(INDEX(LD_RS,C16)&lt;&gt;LD_Null,INDEX(LD_RS,C16)&gt;0),FALSE),OR(D16=0,IF(ISNUMBER(INDEX(LD_RS,C16+1)),AND(INDEX(LD_RS,C16+1)&lt;&gt;LD_Null,INDEX(LD_RS,C16+1)&gt;0),FALSE))),IF(D16=0,INDEX(LD_RS,C16),INDEX(LD_RS,C16)+D16*(INDEX(LD_RS,C16+1)-INDEX(LD_RS,C16))),NA()))</f>
        <v>1.93</v>
      </c>
      <c r="H16" s="0">
        <f>IF(C16=0,NA(),IF(AND(IF(ISNUMBER(INDEX(LD_RM,C16)),AND(INDEX(LD_RM,C16)&lt;&gt;LD_Null,INDEX(LD_RM,C16)&gt;0),FALSE),OR(D16=0,IF(ISNUMBER(INDEX(LD_RM,C16+1)),AND(INDEX(LD_RM,C16+1)&lt;&gt;LD_Null,INDEX(LD_RM,C16+1)&gt;0),FALSE))),IF(D16=0,INDEX(LD_RM,C16),INDEX(LD_RM,C16)+D16*(INDEX(LD_RM,C16+1)-INDEX(LD_RM,C16))),NA()))</f>
        <v>2.2</v>
      </c>
      <c r="I16" s="0">
        <f>IF(C16=0,NA(),IF(AND(IF(ISNUMBER(INDEX(LD_RD,C16)),AND(INDEX(LD_RD,C16)&lt;&gt;LD_Null,INDEX(LD_RD,C16)&gt;0),FALSE),OR(D16=0,IF(ISNUMBER(INDEX(LD_RD,C16+1)),AND(INDEX(LD_RD,C16+1)&lt;&gt;LD_Null,INDEX(LD_RD,C16+1)&gt;0),FALSE))),IF(D16=0,INDEX(LD_RD,C16),INDEX(LD_RD,C16)+D16*(INDEX(LD_RD,C16+1)-INDEX(LD_RD,C16))),NA()))</f>
        <v>2.52</v>
      </c>
      <c r="J16" s="19">
        <f>IF(ISNUMBER(F16),MAX(0,MIN(1,(F16-LD_GRClean)/(LD_GRShale-LD_GRClean))),NA())</f>
        <v>0.9988235294117648</v>
      </c>
      <c r="K16" s="19">
        <f>IF(ISNUMBER(E16),(MAX(LD_SPMin,MIN(E16,LD_SPBase))-LD_SPMin)/(LD_SPMax-LD_SPMin),NA())</f>
        <v>0.838</v>
      </c>
      <c r="L16" s="19">
        <f>IF(ISNUMBER(E16),(LD_SPBase-MAX(LD_SPMin,MIN(E16,LD_SPBase)))/(LD_SPMax-LD_SPMin),NA())</f>
        <v>0.011999999999999993</v>
      </c>
      <c r="M16" s="19">
        <f>IF(ISNUMBER(E16),(MIN(LD_SPMax,MAX(E16,LD_SPBase))-LD_SPBase)/(LD_SPMax-LD_SPMin),NA())</f>
        <v>0</v>
      </c>
      <c r="N16" s="19">
        <f>IF(ISNUMBER(F16),MAX(0,MIN(1,(F16-LD_GRMin)/(LD_GRMax-LD_GRMin))),NA())</f>
        <v>0.766</v>
      </c>
      <c r="O16" s="0">
        <f>IF(ISNUMBER(F16),(F16&gt;=LD_GRB1)+(F16&gt;=LD_GRB2)+(F16&gt;=LD_GRB3)+(F16&gt;=LD_GRB4),NA())</f>
        <v>4</v>
      </c>
      <c r="P16" s="19">
        <f>IF(ISNUMBER(O16),IF(O16=0,N16,0),NA())</f>
        <v>0</v>
      </c>
      <c r="Q16" s="19">
        <f>IF(ISNUMBER(O16),IF(O16=1,N16,0),NA())</f>
        <v>0</v>
      </c>
      <c r="R16" s="19">
        <f>IF(ISNUMBER(O16),IF(O16=2,N16,0),NA())</f>
        <v>0</v>
      </c>
      <c r="S16" s="19">
        <f>IF(ISNUMBER(O16),IF(O16=3,N16,0),NA())</f>
        <v>0</v>
      </c>
      <c r="T16" s="19">
        <f>IF(ISNUMBER(O16),IF(O16=4,N16,0),NA())</f>
        <v>0.766</v>
      </c>
      <c r="U16" s="19">
        <f>IF(ISNUMBER(G16),MAX(0,MIN(1,(LOG10(G16)-LD_RLog0)/LD_RSpan)),NA())</f>
        <v>0.2461318283359481</v>
      </c>
      <c r="V16" s="19">
        <f>IF(ISNUMBER(H16),MAX(0,MIN(1,(LOG10(H16)-LD_RLog0)/LD_RSpan)),NA())</f>
        <v>0.26034817128955623</v>
      </c>
      <c r="W16" s="19">
        <f>IF(ISNUMBER(I16),MAX(0,MIN(1,(LOG10(I16)-LD_RLog0)/LD_RSpan)),NA())</f>
        <v>0.27509263627939073</v>
      </c>
      <c r="Y16" s="19">
        <f>MAX(0,MIN(1,(LD_Dec0+1-LD_RLog0)/LD_RSpan))</f>
        <v>0.1747425010840047</v>
      </c>
      <c r="Z16" s="19">
        <v>120.5</v>
      </c>
      <c r="AA16" s="19">
        <f>MAX(0,MIN(1,(LD_Dec0+0+LOG10(3)-LD_RLog0)/LD_RSpan))</f>
        <v>0.04402281476392028</v>
      </c>
      <c r="AB16" s="19">
        <v>120.5</v>
      </c>
    </row>
    <row r="17">
      <c r="A17" s="0">
        <v>3</v>
      </c>
      <c r="B17" s="18">
        <f>LD_Top+(A17+0.5)*LD_Step</f>
        <v>5003.5</v>
      </c>
      <c r="C17" s="0">
        <f>IF(OR(LD_N&lt;2,B17&lt;LD_First,B17&gt;LD_Last),0,MIN(MATCH(B17,LD_Depth,1),LD_N-1))</f>
        <v>8</v>
      </c>
      <c r="D17" s="19">
        <f>IF(C17=0,0,(B17-INDEX(LD_Depth,C17))/(INDEX(LD_Depth,C17+1)-INDEX(LD_Depth,C17)))</f>
        <v>0</v>
      </c>
      <c r="E17" s="0">
        <f>IF(C17=0,NA(),IF(AND(IF(ISNUMBER(INDEX(LD_SP,C17)),INDEX(LD_SP,C17)&lt;&gt;LD_Null,FALSE),OR(D17=0,IF(ISNUMBER(INDEX(LD_SP,C17+1)),INDEX(LD_SP,C17+1)&lt;&gt;LD_Null,FALSE))),IF(D17=0,INDEX(LD_SP,C17),INDEX(LD_SP,C17)+D17*(INDEX(LD_SP,C17+1)-INDEX(LD_SP,C17))),NA()))</f>
        <v>-14.8</v>
      </c>
      <c r="F17" s="0">
        <f>IF(C17=0,NA(),IF(AND(IF(ISNUMBER(INDEX(LD_GR,C17)),INDEX(LD_GR,C17)&lt;&gt;LD_Null,FALSE),OR(D17=0,IF(ISNUMBER(INDEX(LD_GR,C17+1)),INDEX(LD_GR,C17+1)&lt;&gt;LD_Null,FALSE))),IF(D17=0,INDEX(LD_GR,C17),INDEX(LD_GR,C17)+D17*(INDEX(LD_GR,C17+1)-INDEX(LD_GR,C17))),NA()))</f>
        <v>113.3</v>
      </c>
      <c r="G17" s="0">
        <f>IF(C17=0,NA(),IF(AND(IF(ISNUMBER(INDEX(LD_RS,C17)),AND(INDEX(LD_RS,C17)&lt;&gt;LD_Null,INDEX(LD_RS,C17)&gt;0),FALSE),OR(D17=0,IF(ISNUMBER(INDEX(LD_RS,C17+1)),AND(INDEX(LD_RS,C17+1)&lt;&gt;LD_Null,INDEX(LD_RS,C17+1)&gt;0),FALSE))),IF(D17=0,INDEX(LD_RS,C17),INDEX(LD_RS,C17)+D17*(INDEX(LD_RS,C17+1)-INDEX(LD_RS,C17))),NA()))</f>
        <v>2.01</v>
      </c>
      <c r="H17" s="0">
        <f>IF(C17=0,NA(),IF(AND(IF(ISNUMBER(INDEX(LD_RM,C17)),AND(INDEX(LD_RM,C17)&lt;&gt;LD_Null,INDEX(LD_RM,C17)&gt;0),FALSE),OR(D17=0,IF(ISNUMBER(INDEX(LD_RM,C17+1)),AND(INDEX(LD_RM,C17+1)&lt;&gt;LD_Null,INDEX(LD_RM,C17+1)&gt;0),FALSE))),IF(D17=0,INDEX(LD_RM,C17),INDEX(LD_RM,C17)+D17*(INDEX(LD_RM,C17+1)-INDEX(LD_RM,C17))),NA()))</f>
        <v>2.33</v>
      </c>
      <c r="I17" s="0">
        <f>IF(C17=0,NA(),IF(AND(IF(ISNUMBER(INDEX(LD_RD,C17)),AND(INDEX(LD_RD,C17)&lt;&gt;LD_Null,INDEX(LD_RD,C17)&gt;0),FALSE),OR(D17=0,IF(ISNUMBER(INDEX(LD_RD,C17+1)),AND(INDEX(LD_RD,C17+1)&lt;&gt;LD_Null,INDEX(LD_RD,C17+1)&gt;0),FALSE))),IF(D17=0,INDEX(LD_RD,C17),INDEX(LD_RD,C17)+D17*(INDEX(LD_RD,C17+1)-INDEX(LD_RD,C17))),NA()))</f>
        <v>2.56</v>
      </c>
      <c r="J17" s="19">
        <f>IF(ISNUMBER(F17),MAX(0,MIN(1,(F17-LD_GRClean)/(LD_GRShale-LD_GRClean))),NA())</f>
        <v>0.98</v>
      </c>
      <c r="K17" s="19">
        <f>IF(ISNUMBER(E17),(MAX(LD_SPMin,MIN(E17,LD_SPBase))-LD_SPMin)/(LD_SPMax-LD_SPMin),NA())</f>
        <v>0.85</v>
      </c>
      <c r="L17" s="19">
        <f>IF(ISNUMBER(E17),(LD_SPBase-MAX(LD_SPMin,MIN(E17,LD_SPBase)))/(LD_SPMax-LD_SPMin),NA())</f>
        <v>0</v>
      </c>
      <c r="M17" s="19">
        <f>IF(ISNUMBER(E17),(MIN(LD_SPMax,MAX(E17,LD_SPBase))-LD_SPBase)/(LD_SPMax-LD_SPMin),NA())</f>
        <v>0.001999999999999993</v>
      </c>
      <c r="N17" s="19">
        <f>IF(ISNUMBER(F17),MAX(0,MIN(1,(F17-LD_GRMin)/(LD_GRMax-LD_GRMin))),NA())</f>
        <v>0.7553333333333333</v>
      </c>
      <c r="O17" s="0">
        <f>IF(ISNUMBER(F17),(F17&gt;=LD_GRB1)+(F17&gt;=LD_GRB2)+(F17&gt;=LD_GRB3)+(F17&gt;=LD_GRB4),NA())</f>
        <v>4</v>
      </c>
      <c r="P17" s="19">
        <f>IF(ISNUMBER(O17),IF(O17=0,N17,0),NA())</f>
        <v>0</v>
      </c>
      <c r="Q17" s="19">
        <f>IF(ISNUMBER(O17),IF(O17=1,N17,0),NA())</f>
        <v>0</v>
      </c>
      <c r="R17" s="19">
        <f>IF(ISNUMBER(O17),IF(O17=2,N17,0),NA())</f>
        <v>0</v>
      </c>
      <c r="S17" s="19">
        <f>IF(ISNUMBER(O17),IF(O17=3,N17,0),NA())</f>
        <v>0</v>
      </c>
      <c r="T17" s="19">
        <f>IF(ISNUMBER(O17),IF(O17=4,N17,0),NA())</f>
        <v>0.7553333333333333</v>
      </c>
      <c r="U17" s="19">
        <f>IF(ISNUMBER(G17),MAX(0,MIN(1,(LOG10(G17)-LD_RLog0)/LD_RSpan)),NA())</f>
        <v>0.2505415154391269</v>
      </c>
      <c r="V17" s="19">
        <f>IF(ISNUMBER(H17),MAX(0,MIN(1,(LOG10(H17)-LD_RLog0)/LD_RSpan)),NA())</f>
        <v>0.2665814813405094</v>
      </c>
      <c r="W17" s="19">
        <f>IF(ISNUMBER(I17),MAX(0,MIN(1,(LOG10(I17)-LD_RLog0)/LD_RSpan)),NA())</f>
        <v>0.2768024924119671</v>
      </c>
      <c r="Y17" s="19">
        <f>MAX(0,MIN(1,(LD_Dec0+1-LD_RLog0)/LD_RSpan))</f>
        <v>0.1747425010840047</v>
      </c>
      <c r="Z17" s="19">
        <v>-1.5</v>
      </c>
      <c r="AA17" s="19">
        <f>MAX(0,MIN(1,(LD_Dec0+0+LOG10(3)-LD_RLog0)/LD_RSpan))</f>
        <v>0.04402281476392028</v>
      </c>
      <c r="AB17" s="19">
        <v>-1.5</v>
      </c>
    </row>
    <row r="18">
      <c r="A18" s="0">
        <v>4</v>
      </c>
      <c r="B18" s="18">
        <f>LD_Top+(A18+0.5)*LD_Step</f>
        <v>5004.5</v>
      </c>
      <c r="C18" s="0">
        <f>IF(OR(LD_N&lt;2,B18&lt;LD_First,B18&gt;LD_Last),0,MIN(MATCH(B18,LD_Depth,1),LD_N-1))</f>
        <v>10</v>
      </c>
      <c r="D18" s="19">
        <f>IF(C18=0,0,(B18-INDEX(LD_Depth,C18))/(INDEX(LD_Depth,C18+1)-INDEX(LD_Depth,C18)))</f>
        <v>0</v>
      </c>
      <c r="E18" s="0">
        <f>IF(C18=0,NA(),IF(AND(IF(ISNUMBER(INDEX(LD_SP,C18)),INDEX(LD_SP,C18)&lt;&gt;LD_Null,FALSE),OR(D18=0,IF(ISNUMBER(INDEX(LD_SP,C18+1)),INDEX(LD_SP,C18+1)&lt;&gt;LD_Null,FALSE))),IF(D18=0,INDEX(LD_SP,C18),INDEX(LD_SP,C18)+D18*(INDEX(LD_SP,C18+1)-INDEX(LD_SP,C18))),NA()))</f>
        <v>-14.5</v>
      </c>
      <c r="F18" s="0">
        <f>IF(C18=0,NA(),IF(AND(IF(ISNUMBER(INDEX(LD_GR,C18)),INDEX(LD_GR,C18)&lt;&gt;LD_Null,FALSE),OR(D18=0,IF(ISNUMBER(INDEX(LD_GR,C18+1)),INDEX(LD_GR,C18+1)&lt;&gt;LD_Null,FALSE))),IF(D18=0,INDEX(LD_GR,C18),INDEX(LD_GR,C18)+D18*(INDEX(LD_GR,C18+1)-INDEX(LD_GR,C18))),NA()))</f>
        <v>114.9</v>
      </c>
      <c r="G18" s="0">
        <f>IF(C18=0,NA(),IF(AND(IF(ISNUMBER(INDEX(LD_RS,C18)),AND(INDEX(LD_RS,C18)&lt;&gt;LD_Null,INDEX(LD_RS,C18)&gt;0),FALSE),OR(D18=0,IF(ISNUMBER(INDEX(LD_RS,C18+1)),AND(INDEX(LD_RS,C18+1)&lt;&gt;LD_Null,INDEX(LD_RS,C18+1)&gt;0),FALSE))),IF(D18=0,INDEX(LD_RS,C18),INDEX(LD_RS,C18)+D18*(INDEX(LD_RS,C18+1)-INDEX(LD_RS,C18))),NA()))</f>
        <v>2.14</v>
      </c>
      <c r="H18" s="0">
        <f>IF(C18=0,NA(),IF(AND(IF(ISNUMBER(INDEX(LD_RM,C18)),AND(INDEX(LD_RM,C18)&lt;&gt;LD_Null,INDEX(LD_RM,C18)&gt;0),FALSE),OR(D18=0,IF(ISNUMBER(INDEX(LD_RM,C18+1)),AND(INDEX(LD_RM,C18+1)&lt;&gt;LD_Null,INDEX(LD_RM,C18+1)&gt;0),FALSE))),IF(D18=0,INDEX(LD_RM,C18),INDEX(LD_RM,C18)+D18*(INDEX(LD_RM,C18+1)-INDEX(LD_RM,C18))),NA()))</f>
        <v>2.15</v>
      </c>
      <c r="I18" s="0">
        <f>IF(C18=0,NA(),IF(AND(IF(ISNUMBER(INDEX(LD_RD,C18)),AND(INDEX(LD_RD,C18)&lt;&gt;LD_Null,INDEX(LD_RD,C18)&gt;0),FALSE),OR(D18=0,IF(ISNUMBER(INDEX(LD_RD,C18+1)),AND(INDEX(LD_RD,C18+1)&lt;&gt;LD_Null,INDEX(LD_RD,C18+1)&gt;0),FALSE))),IF(D18=0,INDEX(LD_RD,C18),INDEX(LD_RD,C18)+D18*(INDEX(LD_RD,C18+1)-INDEX(LD_RD,C18))),NA()))</f>
        <v>2.25</v>
      </c>
      <c r="J18" s="19">
        <f>IF(ISNUMBER(F18),MAX(0,MIN(1,(F18-LD_GRClean)/(LD_GRShale-LD_GRClean))),NA())</f>
        <v>0.9988235294117648</v>
      </c>
      <c r="K18" s="19">
        <f>IF(ISNUMBER(E18),(MAX(LD_SPMin,MIN(E18,LD_SPBase))-LD_SPMin)/(LD_SPMax-LD_SPMin),NA())</f>
        <v>0.85</v>
      </c>
      <c r="L18" s="19">
        <f>IF(ISNUMBER(E18),(LD_SPBase-MAX(LD_SPMin,MIN(E18,LD_SPBase)))/(LD_SPMax-LD_SPMin),NA())</f>
        <v>0</v>
      </c>
      <c r="M18" s="19">
        <f>IF(ISNUMBER(E18),(MIN(LD_SPMax,MAX(E18,LD_SPBase))-LD_SPBase)/(LD_SPMax-LD_SPMin),NA())</f>
        <v>0.005</v>
      </c>
      <c r="N18" s="19">
        <f>IF(ISNUMBER(F18),MAX(0,MIN(1,(F18-LD_GRMin)/(LD_GRMax-LD_GRMin))),NA())</f>
        <v>0.766</v>
      </c>
      <c r="O18" s="0">
        <f>IF(ISNUMBER(F18),(F18&gt;=LD_GRB1)+(F18&gt;=LD_GRB2)+(F18&gt;=LD_GRB3)+(F18&gt;=LD_GRB4),NA())</f>
        <v>4</v>
      </c>
      <c r="P18" s="19">
        <f>IF(ISNUMBER(O18),IF(O18=0,N18,0),NA())</f>
        <v>0</v>
      </c>
      <c r="Q18" s="19">
        <f>IF(ISNUMBER(O18),IF(O18=1,N18,0),NA())</f>
        <v>0</v>
      </c>
      <c r="R18" s="19">
        <f>IF(ISNUMBER(O18),IF(O18=2,N18,0),NA())</f>
        <v>0</v>
      </c>
      <c r="S18" s="19">
        <f>IF(ISNUMBER(O18),IF(O18=3,N18,0),NA())</f>
        <v>0</v>
      </c>
      <c r="T18" s="19">
        <f>IF(ISNUMBER(O18),IF(O18=4,N18,0),NA())</f>
        <v>0.766</v>
      </c>
      <c r="U18" s="19">
        <f>IF(ISNUMBER(G18),MAX(0,MIN(1,(LOG10(G18)-LD_RLog0)/LD_RSpan)),NA())</f>
        <v>0.25734594442130243</v>
      </c>
      <c r="V18" s="19">
        <f>IF(ISNUMBER(H18),MAX(0,MIN(1,(LOG10(H18)-LD_RLog0)/LD_RSpan)),NA())</f>
        <v>0.25785211606290603</v>
      </c>
      <c r="W18" s="19">
        <f>IF(ISNUMBER(I18),MAX(0,MIN(1,(LOG10(I18)-LD_RLog0)/LD_RSpan)),NA())</f>
        <v>0.2627881306118453</v>
      </c>
      <c r="Y18" s="19">
        <f>MAX(0,MIN(1,(LD_Dec0+2-LD_RLog0)/LD_RSpan))</f>
        <v>0.4247425010840047</v>
      </c>
      <c r="Z18" s="19">
        <v>-1.5</v>
      </c>
      <c r="AA18" s="19">
        <f>MAX(0,MIN(1,(LD_Dec0+0+LOG10(4)-LD_RLog0)/LD_RSpan))</f>
        <v>0.07525749891599529</v>
      </c>
      <c r="AB18" s="19">
        <v>-1.5</v>
      </c>
    </row>
    <row r="19">
      <c r="A19" s="0">
        <v>5</v>
      </c>
      <c r="B19" s="18">
        <f>LD_Top+(A19+0.5)*LD_Step</f>
        <v>5005.5</v>
      </c>
      <c r="C19" s="0">
        <f>IF(OR(LD_N&lt;2,B19&lt;LD_First,B19&gt;LD_Last),0,MIN(MATCH(B19,LD_Depth,1),LD_N-1))</f>
        <v>12</v>
      </c>
      <c r="D19" s="19">
        <f>IF(C19=0,0,(B19-INDEX(LD_Depth,C19))/(INDEX(LD_Depth,C19+1)-INDEX(LD_Depth,C19)))</f>
        <v>0</v>
      </c>
      <c r="E19" s="0">
        <f>IF(C19=0,NA(),IF(AND(IF(ISNUMBER(INDEX(LD_SP,C19)),INDEX(LD_SP,C19)&lt;&gt;LD_Null,FALSE),OR(D19=0,IF(ISNUMBER(INDEX(LD_SP,C19+1)),INDEX(LD_SP,C19+1)&lt;&gt;LD_Null,FALSE))),IF(D19=0,INDEX(LD_SP,C19),INDEX(LD_SP,C19)+D19*(INDEX(LD_SP,C19+1)-INDEX(LD_SP,C19))),NA()))</f>
        <v>-15.1</v>
      </c>
      <c r="F19" s="0">
        <f>IF(C19=0,NA(),IF(AND(IF(ISNUMBER(INDEX(LD_GR,C19)),INDEX(LD_GR,C19)&lt;&gt;LD_Null,FALSE),OR(D19=0,IF(ISNUMBER(INDEX(LD_GR,C19+1)),INDEX(LD_GR,C19+1)&lt;&gt;LD_Null,FALSE))),IF(D19=0,INDEX(LD_GR,C19),INDEX(LD_GR,C19)+D19*(INDEX(LD_GR,C19+1)-INDEX(LD_GR,C19))),NA()))</f>
        <v>117.9</v>
      </c>
      <c r="G19" s="0">
        <f>IF(C19=0,NA(),IF(AND(IF(ISNUMBER(INDEX(LD_RS,C19)),AND(INDEX(LD_RS,C19)&lt;&gt;LD_Null,INDEX(LD_RS,C19)&gt;0),FALSE),OR(D19=0,IF(ISNUMBER(INDEX(LD_RS,C19+1)),AND(INDEX(LD_RS,C19+1)&lt;&gt;LD_Null,INDEX(LD_RS,C19+1)&gt;0),FALSE))),IF(D19=0,INDEX(LD_RS,C19),INDEX(LD_RS,C19)+D19*(INDEX(LD_RS,C19+1)-INDEX(LD_RS,C19))),NA()))</f>
        <v>1.89</v>
      </c>
      <c r="H19" s="0">
        <f>IF(C19=0,NA(),IF(AND(IF(ISNUMBER(INDEX(LD_RM,C19)),AND(INDEX(LD_RM,C19)&lt;&gt;LD_Null,INDEX(LD_RM,C19)&gt;0),FALSE),OR(D19=0,IF(ISNUMBER(INDEX(LD_RM,C19+1)),AND(INDEX(LD_RM,C19+1)&lt;&gt;LD_Null,INDEX(LD_RM,C19+1)&gt;0),FALSE))),IF(D19=0,INDEX(LD_RM,C19),INDEX(LD_RM,C19)+D19*(INDEX(LD_RM,C19+1)-INDEX(LD_RM,C19))),NA()))</f>
        <v>2.17</v>
      </c>
      <c r="I19" s="0">
        <f>IF(C19=0,NA(),IF(AND(IF(ISNUMBER(INDEX(LD_RD,C19)),AND(INDEX(LD_RD,C19)&lt;&gt;LD_Null,INDEX(LD_RD,C19)&gt;0),FALSE),OR(D19=0,IF(ISNUMBER(INDEX(LD_RD,C19+1)),AND(INDEX(LD_RD,C19+1)&lt;&gt;LD_Null,INDEX(LD_RD,C19+1)&gt;0),FALSE))),IF(D19=0,INDEX(LD_RD,C19),INDEX(LD_RD,C19)+D19*(INDEX(LD_RD,C19+1)-INDEX(LD_RD,C19))),NA()))</f>
        <v>2.31</v>
      </c>
      <c r="J19" s="19">
        <f>IF(ISNUMBER(F19),MAX(0,MIN(1,(F19-LD_GRClean)/(LD_GRShale-LD_GRClean))),NA())</f>
        <v>1</v>
      </c>
      <c r="K19" s="19">
        <f>IF(ISNUMBER(E19),(MAX(LD_SPMin,MIN(E19,LD_SPBase))-LD_SPMin)/(LD_SPMax-LD_SPMin),NA())</f>
        <v>0.8490000000000001</v>
      </c>
      <c r="L19" s="19">
        <f>IF(ISNUMBER(E19),(LD_SPBase-MAX(LD_SPMin,MIN(E19,LD_SPBase)))/(LD_SPMax-LD_SPMin),NA())</f>
        <v>0.0009999999999999966</v>
      </c>
      <c r="M19" s="19">
        <f>IF(ISNUMBER(E19),(MIN(LD_SPMax,MAX(E19,LD_SPBase))-LD_SPBase)/(LD_SPMax-LD_SPMin),NA())</f>
        <v>0</v>
      </c>
      <c r="N19" s="19">
        <f>IF(ISNUMBER(F19),MAX(0,MIN(1,(F19-LD_GRMin)/(LD_GRMax-LD_GRMin))),NA())</f>
        <v>0.786</v>
      </c>
      <c r="O19" s="0">
        <f>IF(ISNUMBER(F19),(F19&gt;=LD_GRB1)+(F19&gt;=LD_GRB2)+(F19&gt;=LD_GRB3)+(F19&gt;=LD_GRB4),NA())</f>
        <v>4</v>
      </c>
      <c r="P19" s="19">
        <f>IF(ISNUMBER(O19),IF(O19=0,N19,0),NA())</f>
        <v>0</v>
      </c>
      <c r="Q19" s="19">
        <f>IF(ISNUMBER(O19),IF(O19=1,N19,0),NA())</f>
        <v>0</v>
      </c>
      <c r="R19" s="19">
        <f>IF(ISNUMBER(O19),IF(O19=2,N19,0),NA())</f>
        <v>0</v>
      </c>
      <c r="S19" s="19">
        <f>IF(ISNUMBER(O19),IF(O19=3,N19,0),NA())</f>
        <v>0</v>
      </c>
      <c r="T19" s="19">
        <f>IF(ISNUMBER(O19),IF(O19=4,N19,0),NA())</f>
        <v>0.786</v>
      </c>
      <c r="U19" s="19">
        <f>IF(ISNUMBER(G19),MAX(0,MIN(1,(LOG10(G19)-LD_RLog0)/LD_RSpan)),NA())</f>
        <v>0.2438579521273157</v>
      </c>
      <c r="V19" s="19">
        <f>IF(ISNUMBER(H19),MAX(0,MIN(1,(LOG10(H19)-LD_RLog0)/LD_RSpan)),NA())</f>
        <v>0.2588574345461371</v>
      </c>
      <c r="W19" s="19">
        <f>IF(ISNUMBER(I19),MAX(0,MIN(1,(LOG10(I19)-LD_RLog0)/LD_RSpan)),NA())</f>
        <v>0.2656454960570408</v>
      </c>
      <c r="Y19" s="19">
        <f>MAX(0,MIN(1,(LD_Dec0+2-LD_RLog0)/LD_RSpan))</f>
        <v>0.4247425010840047</v>
      </c>
      <c r="Z19" s="19">
        <v>120.5</v>
      </c>
      <c r="AA19" s="19">
        <f>MAX(0,MIN(1,(LD_Dec0+0+LOG10(4)-LD_RLog0)/LD_RSpan))</f>
        <v>0.07525749891599529</v>
      </c>
      <c r="AB19" s="19">
        <v>120.5</v>
      </c>
    </row>
    <row r="20">
      <c r="A20" s="0">
        <v>6</v>
      </c>
      <c r="B20" s="18">
        <f>LD_Top+(A20+0.5)*LD_Step</f>
        <v>5006.5</v>
      </c>
      <c r="C20" s="0">
        <f>IF(OR(LD_N&lt;2,B20&lt;LD_First,B20&gt;LD_Last),0,MIN(MATCH(B20,LD_Depth,1),LD_N-1))</f>
        <v>14</v>
      </c>
      <c r="D20" s="19">
        <f>IF(C20=0,0,(B20-INDEX(LD_Depth,C20))/(INDEX(LD_Depth,C20+1)-INDEX(LD_Depth,C20)))</f>
        <v>0</v>
      </c>
      <c r="E20" s="0">
        <f>IF(C20=0,NA(),IF(AND(IF(ISNUMBER(INDEX(LD_SP,C20)),INDEX(LD_SP,C20)&lt;&gt;LD_Null,FALSE),OR(D20=0,IF(ISNUMBER(INDEX(LD_SP,C20+1)),INDEX(LD_SP,C20+1)&lt;&gt;LD_Null,FALSE))),IF(D20=0,INDEX(LD_SP,C20),INDEX(LD_SP,C20)+D20*(INDEX(LD_SP,C20+1)-INDEX(LD_SP,C20))),NA()))</f>
        <v>-15.6</v>
      </c>
      <c r="F20" s="0">
        <f>IF(C20=0,NA(),IF(AND(IF(ISNUMBER(INDEX(LD_GR,C20)),INDEX(LD_GR,C20)&lt;&gt;LD_Null,FALSE),OR(D20=0,IF(ISNUMBER(INDEX(LD_GR,C20+1)),INDEX(LD_GR,C20+1)&lt;&gt;LD_Null,FALSE))),IF(D20=0,INDEX(LD_GR,C20),INDEX(LD_GR,C20)+D20*(INDEX(LD_GR,C20+1)-INDEX(LD_GR,C20))),NA()))</f>
        <v>113.4</v>
      </c>
      <c r="G20" s="0">
        <f>IF(C20=0,NA(),IF(AND(IF(ISNUMBER(INDEX(LD_RS,C20)),AND(INDEX(LD_RS,C20)&lt;&gt;LD_Null,INDEX(LD_RS,C20)&gt;0),FALSE),OR(D20=0,IF(ISNUMBER(INDEX(LD_RS,C20+1)),AND(INDEX(LD_RS,C20+1)&lt;&gt;LD_Null,INDEX(LD_RS,C20+1)&gt;0),FALSE))),IF(D20=0,INDEX(LD_RS,C20),INDEX(LD_RS,C20)+D20*(INDEX(LD_RS,C20+1)-INDEX(LD_RS,C20))),NA()))</f>
        <v>1.94</v>
      </c>
      <c r="H20" s="0">
        <f>IF(C20=0,NA(),IF(AND(IF(ISNUMBER(INDEX(LD_RM,C20)),AND(INDEX(LD_RM,C20)&lt;&gt;LD_Null,INDEX(LD_RM,C20)&gt;0),FALSE),OR(D20=0,IF(ISNUMBER(INDEX(LD_RM,C20+1)),AND(INDEX(LD_RM,C20+1)&lt;&gt;LD_Null,INDEX(LD_RM,C20+1)&gt;0),FALSE))),IF(D20=0,INDEX(LD_RM,C20),INDEX(LD_RM,C20)+D20*(INDEX(LD_RM,C20+1)-INDEX(LD_RM,C20))),NA()))</f>
        <v>2.14</v>
      </c>
      <c r="I20" s="0">
        <f>IF(C20=0,NA(),IF(AND(IF(ISNUMBER(INDEX(LD_RD,C20)),AND(INDEX(LD_RD,C20)&lt;&gt;LD_Null,INDEX(LD_RD,C20)&gt;0),FALSE),OR(D20=0,IF(ISNUMBER(INDEX(LD_RD,C20+1)),AND(INDEX(LD_RD,C20+1)&lt;&gt;LD_Null,INDEX(LD_RD,C20+1)&gt;0),FALSE))),IF(D20=0,INDEX(LD_RD,C20),INDEX(LD_RD,C20)+D20*(INDEX(LD_RD,C20+1)-INDEX(LD_RD,C20))),NA()))</f>
        <v>2.62</v>
      </c>
      <c r="J20" s="19">
        <f>IF(ISNUMBER(F20),MAX(0,MIN(1,(F20-LD_GRClean)/(LD_GRShale-LD_GRClean))),NA())</f>
        <v>0.9811764705882353</v>
      </c>
      <c r="K20" s="19">
        <f>IF(ISNUMBER(E20),(MAX(LD_SPMin,MIN(E20,LD_SPBase))-LD_SPMin)/(LD_SPMax-LD_SPMin),NA())</f>
        <v>0.8440000000000001</v>
      </c>
      <c r="L20" s="19">
        <f>IF(ISNUMBER(E20),(LD_SPBase-MAX(LD_SPMin,MIN(E20,LD_SPBase)))/(LD_SPMax-LD_SPMin),NA())</f>
        <v>0.005999999999999997</v>
      </c>
      <c r="M20" s="19">
        <f>IF(ISNUMBER(E20),(MIN(LD_SPMax,MAX(E20,LD_SPBase))-LD_SPBase)/(LD_SPMax-LD_SPMin),NA())</f>
        <v>0</v>
      </c>
      <c r="N20" s="19">
        <f>IF(ISNUMBER(F20),MAX(0,MIN(1,(F20-LD_GRMin)/(LD_GRMax-LD_GRMin))),NA())</f>
        <v>0.756</v>
      </c>
      <c r="O20" s="0">
        <f>IF(ISNUMBER(F20),(F20&gt;=LD_GRB1)+(F20&gt;=LD_GRB2)+(F20&gt;=LD_GRB3)+(F20&gt;=LD_GRB4),NA())</f>
        <v>4</v>
      </c>
      <c r="P20" s="19">
        <f>IF(ISNUMBER(O20),IF(O20=0,N20,0),NA())</f>
        <v>0</v>
      </c>
      <c r="Q20" s="19">
        <f>IF(ISNUMBER(O20),IF(O20=1,N20,0),NA())</f>
        <v>0</v>
      </c>
      <c r="R20" s="19">
        <f>IF(ISNUMBER(O20),IF(O20=2,N20,0),NA())</f>
        <v>0</v>
      </c>
      <c r="S20" s="19">
        <f>IF(ISNUMBER(O20),IF(O20=3,N20,0),NA())</f>
        <v>0</v>
      </c>
      <c r="T20" s="19">
        <f>IF(ISNUMBER(O20),IF(O20=4,N20,0),NA())</f>
        <v>0.756</v>
      </c>
      <c r="U20" s="19">
        <f>IF(ISNUMBER(G20),MAX(0,MIN(1,(LOG10(G20)-LD_RLog0)/LD_RSpan)),NA())</f>
        <v>0.2466929335665612</v>
      </c>
      <c r="V20" s="19">
        <f>IF(ISNUMBER(H20),MAX(0,MIN(1,(LOG10(H20)-LD_RLog0)/LD_RSpan)),NA())</f>
        <v>0.25734594442130243</v>
      </c>
      <c r="W20" s="19">
        <f>IF(ISNUMBER(I20),MAX(0,MIN(1,(LOG10(I20)-LD_RLog0)/LD_RSpan)),NA())</f>
        <v>0.27931782391394105</v>
      </c>
      <c r="Y20" s="19">
        <f>MAX(0,MIN(1,(LD_Dec0+3-LD_RLog0)/LD_RSpan))</f>
        <v>0.6747425010840047</v>
      </c>
      <c r="Z20" s="19">
        <v>120.5</v>
      </c>
      <c r="AA20" s="19">
        <f>MAX(0,MIN(1,(LD_Dec0+0+LOG10(5)-LD_RLog0)/LD_RSpan))</f>
        <v>0.0994850021680094</v>
      </c>
      <c r="AB20" s="19">
        <v>120.5</v>
      </c>
    </row>
    <row r="21">
      <c r="A21" s="0">
        <v>7</v>
      </c>
      <c r="B21" s="18">
        <f>LD_Top+(A21+0.5)*LD_Step</f>
        <v>5007.5</v>
      </c>
      <c r="C21" s="0">
        <f>IF(OR(LD_N&lt;2,B21&lt;LD_First,B21&gt;LD_Last),0,MIN(MATCH(B21,LD_Depth,1),LD_N-1))</f>
        <v>16</v>
      </c>
      <c r="D21" s="19">
        <f>IF(C21=0,0,(B21-INDEX(LD_Depth,C21))/(INDEX(LD_Depth,C21+1)-INDEX(LD_Depth,C21)))</f>
        <v>0</v>
      </c>
      <c r="E21" s="0">
        <f>IF(C21=0,NA(),IF(AND(IF(ISNUMBER(INDEX(LD_SP,C21)),INDEX(LD_SP,C21)&lt;&gt;LD_Null,FALSE),OR(D21=0,IF(ISNUMBER(INDEX(LD_SP,C21+1)),INDEX(LD_SP,C21+1)&lt;&gt;LD_Null,FALSE))),IF(D21=0,INDEX(LD_SP,C21),INDEX(LD_SP,C21)+D21*(INDEX(LD_SP,C21+1)-INDEX(LD_SP,C21))),NA()))</f>
        <v>-15.1</v>
      </c>
      <c r="F21" s="0">
        <f>IF(C21=0,NA(),IF(AND(IF(ISNUMBER(INDEX(LD_GR,C21)),INDEX(LD_GR,C21)&lt;&gt;LD_Null,FALSE),OR(D21=0,IF(ISNUMBER(INDEX(LD_GR,C21+1)),INDEX(LD_GR,C21+1)&lt;&gt;LD_Null,FALSE))),IF(D21=0,INDEX(LD_GR,C21),INDEX(LD_GR,C21)+D21*(INDEX(LD_GR,C21+1)-INDEX(LD_GR,C21))),NA()))</f>
        <v>111.8</v>
      </c>
      <c r="G21" s="0">
        <f>IF(C21=0,NA(),IF(AND(IF(ISNUMBER(INDEX(LD_RS,C21)),AND(INDEX(LD_RS,C21)&lt;&gt;LD_Null,INDEX(LD_RS,C21)&gt;0),FALSE),OR(D21=0,IF(ISNUMBER(INDEX(LD_RS,C21+1)),AND(INDEX(LD_RS,C21+1)&lt;&gt;LD_Null,INDEX(LD_RS,C21+1)&gt;0),FALSE))),IF(D21=0,INDEX(LD_RS,C21),INDEX(LD_RS,C21)+D21*(INDEX(LD_RS,C21+1)-INDEX(LD_RS,C21))),NA()))</f>
        <v>2.14</v>
      </c>
      <c r="H21" s="0">
        <f>IF(C21=0,NA(),IF(AND(IF(ISNUMBER(INDEX(LD_RM,C21)),AND(INDEX(LD_RM,C21)&lt;&gt;LD_Null,INDEX(LD_RM,C21)&gt;0),FALSE),OR(D21=0,IF(ISNUMBER(INDEX(LD_RM,C21+1)),AND(INDEX(LD_RM,C21+1)&lt;&gt;LD_Null,INDEX(LD_RM,C21+1)&gt;0),FALSE))),IF(D21=0,INDEX(LD_RM,C21),INDEX(LD_RM,C21)+D21*(INDEX(LD_RM,C21+1)-INDEX(LD_RM,C21))),NA()))</f>
        <v>2.4</v>
      </c>
      <c r="I21" s="0">
        <f>IF(C21=0,NA(),IF(AND(IF(ISNUMBER(INDEX(LD_RD,C21)),AND(INDEX(LD_RD,C21)&lt;&gt;LD_Null,INDEX(LD_RD,C21)&gt;0),FALSE),OR(D21=0,IF(ISNUMBER(INDEX(LD_RD,C21+1)),AND(INDEX(LD_RD,C21+1)&lt;&gt;LD_Null,INDEX(LD_RD,C21+1)&gt;0),FALSE))),IF(D21=0,INDEX(LD_RD,C21),INDEX(LD_RD,C21)+D21*(INDEX(LD_RD,C21+1)-INDEX(LD_RD,C21))),NA()))</f>
        <v>2.39</v>
      </c>
      <c r="J21" s="19">
        <f>IF(ISNUMBER(F21),MAX(0,MIN(1,(F21-LD_GRClean)/(LD_GRShale-LD_GRClean))),NA())</f>
        <v>0.9623529411764705</v>
      </c>
      <c r="K21" s="19">
        <f>IF(ISNUMBER(E21),(MAX(LD_SPMin,MIN(E21,LD_SPBase))-LD_SPMin)/(LD_SPMax-LD_SPMin),NA())</f>
        <v>0.8490000000000001</v>
      </c>
      <c r="L21" s="19">
        <f>IF(ISNUMBER(E21),(LD_SPBase-MAX(LD_SPMin,MIN(E21,LD_SPBase)))/(LD_SPMax-LD_SPMin),NA())</f>
        <v>0.0009999999999999966</v>
      </c>
      <c r="M21" s="19">
        <f>IF(ISNUMBER(E21),(MIN(LD_SPMax,MAX(E21,LD_SPBase))-LD_SPBase)/(LD_SPMax-LD_SPMin),NA())</f>
        <v>0</v>
      </c>
      <c r="N21" s="19">
        <f>IF(ISNUMBER(F21),MAX(0,MIN(1,(F21-LD_GRMin)/(LD_GRMax-LD_GRMin))),NA())</f>
        <v>0.7453333333333333</v>
      </c>
      <c r="O21" s="0">
        <f>IF(ISNUMBER(F21),(F21&gt;=LD_GRB1)+(F21&gt;=LD_GRB2)+(F21&gt;=LD_GRB3)+(F21&gt;=LD_GRB4),NA())</f>
        <v>4</v>
      </c>
      <c r="P21" s="19">
        <f>IF(ISNUMBER(O21),IF(O21=0,N21,0),NA())</f>
        <v>0</v>
      </c>
      <c r="Q21" s="19">
        <f>IF(ISNUMBER(O21),IF(O21=1,N21,0),NA())</f>
        <v>0</v>
      </c>
      <c r="R21" s="19">
        <f>IF(ISNUMBER(O21),IF(O21=2,N21,0),NA())</f>
        <v>0</v>
      </c>
      <c r="S21" s="19">
        <f>IF(ISNUMBER(O21),IF(O21=3,N21,0),NA())</f>
        <v>0</v>
      </c>
      <c r="T21" s="19">
        <f>IF(ISNUMBER(O21),IF(O21=4,N21,0),NA())</f>
        <v>0.7453333333333333</v>
      </c>
      <c r="U21" s="19">
        <f>IF(ISNUMBER(G21),MAX(0,MIN(1,(LOG10(G21)-LD_RLog0)/LD_RSpan)),NA())</f>
        <v>0.25734594442130243</v>
      </c>
      <c r="V21" s="19">
        <f>IF(ISNUMBER(H21),MAX(0,MIN(1,(LOG10(H21)-LD_RLog0)/LD_RSpan)),NA())</f>
        <v>0.26979531151190617</v>
      </c>
      <c r="W21" s="19">
        <f>IF(ISNUMBER(I21),MAX(0,MIN(1,(LOG10(I21)-LD_RLog0)/LD_RSpan)),NA())</f>
        <v>0.2693419763210391</v>
      </c>
      <c r="Y21" s="19">
        <f>MAX(0,MIN(1,(LD_Dec0+3-LD_RLog0)/LD_RSpan))</f>
        <v>0.6747425010840047</v>
      </c>
      <c r="Z21" s="19">
        <v>-1.5</v>
      </c>
      <c r="AA21" s="19">
        <f>MAX(0,MIN(1,(LD_Dec0+0+LOG10(5)-LD_RLog0)/LD_RSpan))</f>
        <v>0.0994850021680094</v>
      </c>
      <c r="AB21" s="19">
        <v>-1.5</v>
      </c>
    </row>
    <row r="22">
      <c r="A22" s="0">
        <v>8</v>
      </c>
      <c r="B22" s="18">
        <f>LD_Top+(A22+0.5)*LD_Step</f>
        <v>5008.5</v>
      </c>
      <c r="C22" s="0">
        <f>IF(OR(LD_N&lt;2,B22&lt;LD_First,B22&gt;LD_Last),0,MIN(MATCH(B22,LD_Depth,1),LD_N-1))</f>
        <v>18</v>
      </c>
      <c r="D22" s="19">
        <f>IF(C22=0,0,(B22-INDEX(LD_Depth,C22))/(INDEX(LD_Depth,C22+1)-INDEX(LD_Depth,C22)))</f>
        <v>0</v>
      </c>
      <c r="E22" s="0">
        <f>IF(C22=0,NA(),IF(AND(IF(ISNUMBER(INDEX(LD_SP,C22)),INDEX(LD_SP,C22)&lt;&gt;LD_Null,FALSE),OR(D22=0,IF(ISNUMBER(INDEX(LD_SP,C22+1)),INDEX(LD_SP,C22+1)&lt;&gt;LD_Null,FALSE))),IF(D22=0,INDEX(LD_SP,C22),INDEX(LD_SP,C22)+D22*(INDEX(LD_SP,C22+1)-INDEX(LD_SP,C22))),NA()))</f>
        <v>-15.4</v>
      </c>
      <c r="F22" s="0">
        <f>IF(C22=0,NA(),IF(AND(IF(ISNUMBER(INDEX(LD_GR,C22)),INDEX(LD_GR,C22)&lt;&gt;LD_Null,FALSE),OR(D22=0,IF(ISNUMBER(INDEX(LD_GR,C22+1)),INDEX(LD_GR,C22+1)&lt;&gt;LD_Null,FALSE))),IF(D22=0,INDEX(LD_GR,C22),INDEX(LD_GR,C22)+D22*(INDEX(LD_GR,C22+1)-INDEX(LD_GR,C22))),NA()))</f>
        <v>117.6</v>
      </c>
      <c r="G22" s="0">
        <f>IF(C22=0,NA(),IF(AND(IF(ISNUMBER(INDEX(LD_RS,C22)),AND(INDEX(LD_RS,C22)&lt;&gt;LD_Null,INDEX(LD_RS,C22)&gt;0),FALSE),OR(D22=0,IF(ISNUMBER(INDEX(LD_RS,C22+1)),AND(INDEX(LD_RS,C22+1)&lt;&gt;LD_Null,INDEX(LD_RS,C22+1)&gt;0),FALSE))),IF(D22=0,INDEX(LD_RS,C22),INDEX(LD_RS,C22)+D22*(INDEX(LD_RS,C22+1)-INDEX(LD_RS,C22))),NA()))</f>
        <v>2.06</v>
      </c>
      <c r="H22" s="0">
        <f>IF(C22=0,NA(),IF(AND(IF(ISNUMBER(INDEX(LD_RM,C22)),AND(INDEX(LD_RM,C22)&lt;&gt;LD_Null,INDEX(LD_RM,C22)&gt;0),FALSE),OR(D22=0,IF(ISNUMBER(INDEX(LD_RM,C22+1)),AND(INDEX(LD_RM,C22+1)&lt;&gt;LD_Null,INDEX(LD_RM,C22+1)&gt;0),FALSE))),IF(D22=0,INDEX(LD_RM,C22),INDEX(LD_RM,C22)+D22*(INDEX(LD_RM,C22+1)-INDEX(LD_RM,C22))),NA()))</f>
        <v>2.23</v>
      </c>
      <c r="I22" s="0">
        <f>IF(C22=0,NA(),IF(AND(IF(ISNUMBER(INDEX(LD_RD,C22)),AND(INDEX(LD_RD,C22)&lt;&gt;LD_Null,INDEX(LD_RD,C22)&gt;0),FALSE),OR(D22=0,IF(ISNUMBER(INDEX(LD_RD,C22+1)),AND(INDEX(LD_RD,C22+1)&lt;&gt;LD_Null,INDEX(LD_RD,C22+1)&gt;0),FALSE))),IF(D22=0,INDEX(LD_RD,C22),INDEX(LD_RD,C22)+D22*(INDEX(LD_RD,C22+1)-INDEX(LD_RD,C22))),NA()))</f>
        <v>2.41</v>
      </c>
      <c r="J22" s="19">
        <f>IF(ISNUMBER(F22),MAX(0,MIN(1,(F22-LD_GRClean)/(LD_GRShale-LD_GRClean))),NA())</f>
        <v>1</v>
      </c>
      <c r="K22" s="19">
        <f>IF(ISNUMBER(E22),(MAX(LD_SPMin,MIN(E22,LD_SPBase))-LD_SPMin)/(LD_SPMax-LD_SPMin),NA())</f>
        <v>0.846</v>
      </c>
      <c r="L22" s="19">
        <f>IF(ISNUMBER(E22),(LD_SPBase-MAX(LD_SPMin,MIN(E22,LD_SPBase)))/(LD_SPMax-LD_SPMin),NA())</f>
        <v>0.0040000000000000036</v>
      </c>
      <c r="M22" s="19">
        <f>IF(ISNUMBER(E22),(MIN(LD_SPMax,MAX(E22,LD_SPBase))-LD_SPBase)/(LD_SPMax-LD_SPMin),NA())</f>
        <v>0</v>
      </c>
      <c r="N22" s="19">
        <f>IF(ISNUMBER(F22),MAX(0,MIN(1,(F22-LD_GRMin)/(LD_GRMax-LD_GRMin))),NA())</f>
        <v>0.7839999999999999</v>
      </c>
      <c r="O22" s="0">
        <f>IF(ISNUMBER(F22),(F22&gt;=LD_GRB1)+(F22&gt;=LD_GRB2)+(F22&gt;=LD_GRB3)+(F22&gt;=LD_GRB4),NA())</f>
        <v>4</v>
      </c>
      <c r="P22" s="19">
        <f>IF(ISNUMBER(O22),IF(O22=0,N22,0),NA())</f>
        <v>0</v>
      </c>
      <c r="Q22" s="19">
        <f>IF(ISNUMBER(O22),IF(O22=1,N22,0),NA())</f>
        <v>0</v>
      </c>
      <c r="R22" s="19">
        <f>IF(ISNUMBER(O22),IF(O22=2,N22,0),NA())</f>
        <v>0</v>
      </c>
      <c r="S22" s="19">
        <f>IF(ISNUMBER(O22),IF(O22=3,N22,0),NA())</f>
        <v>0</v>
      </c>
      <c r="T22" s="19">
        <f>IF(ISNUMBER(O22),IF(O22=4,N22,0),NA())</f>
        <v>0.7839999999999999</v>
      </c>
      <c r="U22" s="19">
        <f>IF(ISNUMBER(G22),MAX(0,MIN(1,(LOG10(G22)-LD_RLog0)/LD_RSpan)),NA())</f>
        <v>0.25320930617629306</v>
      </c>
      <c r="V22" s="19">
        <f>IF(ISNUMBER(H22),MAX(0,MIN(1,(LOG10(H22)-LD_RLog0)/LD_RSpan)),NA())</f>
        <v>0.26181871684604485</v>
      </c>
      <c r="W22" s="19">
        <f>IF(ISNUMBER(I22),MAX(0,MIN(1,(LOG10(I22)-LD_RLog0)/LD_RSpan)),NA())</f>
        <v>0.2702467617277218</v>
      </c>
      <c r="Y22" s="19">
        <f>MAX(0,MIN(1,(LD_Dec0+4-LD_RLog0)/LD_RSpan))</f>
        <v>0.9247425010840047</v>
      </c>
      <c r="Z22" s="19">
        <v>-1.5</v>
      </c>
      <c r="AA22" s="19">
        <f>MAX(0,MIN(1,(LD_Dec0+0+LOG10(6)-LD_RLog0)/LD_RSpan))</f>
        <v>0.1192803136799156</v>
      </c>
      <c r="AB22" s="19">
        <v>-1.5</v>
      </c>
    </row>
    <row r="23">
      <c r="A23" s="0">
        <v>9</v>
      </c>
      <c r="B23" s="18">
        <f>LD_Top+(A23+0.5)*LD_Step</f>
        <v>5009.5</v>
      </c>
      <c r="C23" s="0">
        <f>IF(OR(LD_N&lt;2,B23&lt;LD_First,B23&gt;LD_Last),0,MIN(MATCH(B23,LD_Depth,1),LD_N-1))</f>
        <v>20</v>
      </c>
      <c r="D23" s="19">
        <f>IF(C23=0,0,(B23-INDEX(LD_Depth,C23))/(INDEX(LD_Depth,C23+1)-INDEX(LD_Depth,C23)))</f>
        <v>0</v>
      </c>
      <c r="E23" s="0">
        <f>IF(C23=0,NA(),IF(AND(IF(ISNUMBER(INDEX(LD_SP,C23)),INDEX(LD_SP,C23)&lt;&gt;LD_Null,FALSE),OR(D23=0,IF(ISNUMBER(INDEX(LD_SP,C23+1)),INDEX(LD_SP,C23+1)&lt;&gt;LD_Null,FALSE))),IF(D23=0,INDEX(LD_SP,C23),INDEX(LD_SP,C23)+D23*(INDEX(LD_SP,C23+1)-INDEX(LD_SP,C23))),NA()))</f>
        <v>-17.3</v>
      </c>
      <c r="F23" s="0">
        <f>IF(C23=0,NA(),IF(AND(IF(ISNUMBER(INDEX(LD_GR,C23)),INDEX(LD_GR,C23)&lt;&gt;LD_Null,FALSE),OR(D23=0,IF(ISNUMBER(INDEX(LD_GR,C23+1)),INDEX(LD_GR,C23+1)&lt;&gt;LD_Null,FALSE))),IF(D23=0,INDEX(LD_GR,C23),INDEX(LD_GR,C23)+D23*(INDEX(LD_GR,C23+1)-INDEX(LD_GR,C23))),NA()))</f>
        <v>111.9</v>
      </c>
      <c r="G23" s="0">
        <f>IF(C23=0,NA(),IF(AND(IF(ISNUMBER(INDEX(LD_RS,C23)),AND(INDEX(LD_RS,C23)&lt;&gt;LD_Null,INDEX(LD_RS,C23)&gt;0),FALSE),OR(D23=0,IF(ISNUMBER(INDEX(LD_RS,C23+1)),AND(INDEX(LD_RS,C23+1)&lt;&gt;LD_Null,INDEX(LD_RS,C23+1)&gt;0),FALSE))),IF(D23=0,INDEX(LD_RS,C23),INDEX(LD_RS,C23)+D23*(INDEX(LD_RS,C23+1)-INDEX(LD_RS,C23))),NA()))</f>
        <v>1.98</v>
      </c>
      <c r="H23" s="0">
        <f>IF(C23=0,NA(),IF(AND(IF(ISNUMBER(INDEX(LD_RM,C23)),AND(INDEX(LD_RM,C23)&lt;&gt;LD_Null,INDEX(LD_RM,C23)&gt;0),FALSE),OR(D23=0,IF(ISNUMBER(INDEX(LD_RM,C23+1)),AND(INDEX(LD_RM,C23+1)&lt;&gt;LD_Null,INDEX(LD_RM,C23+1)&gt;0),FALSE))),IF(D23=0,INDEX(LD_RM,C23),INDEX(LD_RM,C23)+D23*(INDEX(LD_RM,C23+1)-INDEX(LD_RM,C23))),NA()))</f>
        <v>2.27</v>
      </c>
      <c r="I23" s="0">
        <f>IF(C23=0,NA(),IF(AND(IF(ISNUMBER(INDEX(LD_RD,C23)),AND(INDEX(LD_RD,C23)&lt;&gt;LD_Null,INDEX(LD_RD,C23)&gt;0),FALSE),OR(D23=0,IF(ISNUMBER(INDEX(LD_RD,C23+1)),AND(INDEX(LD_RD,C23+1)&lt;&gt;LD_Null,INDEX(LD_RD,C23+1)&gt;0),FALSE))),IF(D23=0,INDEX(LD_RD,C23),INDEX(LD_RD,C23)+D23*(INDEX(LD_RD,C23+1)-INDEX(LD_RD,C23))),NA()))</f>
        <v>2.72</v>
      </c>
      <c r="J23" s="19">
        <f>IF(ISNUMBER(F23),MAX(0,MIN(1,(F23-LD_GRClean)/(LD_GRShale-LD_GRClean))),NA())</f>
        <v>0.963529411764706</v>
      </c>
      <c r="K23" s="19">
        <f>IF(ISNUMBER(E23),(MAX(LD_SPMin,MIN(E23,LD_SPBase))-LD_SPMin)/(LD_SPMax-LD_SPMin),NA())</f>
        <v>0.8270000000000001</v>
      </c>
      <c r="L23" s="19">
        <f>IF(ISNUMBER(E23),(LD_SPBase-MAX(LD_SPMin,MIN(E23,LD_SPBase)))/(LD_SPMax-LD_SPMin),NA())</f>
        <v>0.023000000000000007</v>
      </c>
      <c r="M23" s="19">
        <f>IF(ISNUMBER(E23),(MIN(LD_SPMax,MAX(E23,LD_SPBase))-LD_SPBase)/(LD_SPMax-LD_SPMin),NA())</f>
        <v>0</v>
      </c>
      <c r="N23" s="19">
        <f>IF(ISNUMBER(F23),MAX(0,MIN(1,(F23-LD_GRMin)/(LD_GRMax-LD_GRMin))),NA())</f>
        <v>0.746</v>
      </c>
      <c r="O23" s="0">
        <f>IF(ISNUMBER(F23),(F23&gt;=LD_GRB1)+(F23&gt;=LD_GRB2)+(F23&gt;=LD_GRB3)+(F23&gt;=LD_GRB4),NA())</f>
        <v>4</v>
      </c>
      <c r="P23" s="19">
        <f>IF(ISNUMBER(O23),IF(O23=0,N23,0),NA())</f>
        <v>0</v>
      </c>
      <c r="Q23" s="19">
        <f>IF(ISNUMBER(O23),IF(O23=1,N23,0),NA())</f>
        <v>0</v>
      </c>
      <c r="R23" s="19">
        <f>IF(ISNUMBER(O23),IF(O23=2,N23,0),NA())</f>
        <v>0</v>
      </c>
      <c r="S23" s="19">
        <f>IF(ISNUMBER(O23),IF(O23=3,N23,0),NA())</f>
        <v>0</v>
      </c>
      <c r="T23" s="19">
        <f>IF(ISNUMBER(O23),IF(O23=4,N23,0),NA())</f>
        <v>0.746</v>
      </c>
      <c r="U23" s="19">
        <f>IF(ISNUMBER(G23),MAX(0,MIN(1,(LOG10(G23)-LD_RLog0)/LD_RSpan)),NA())</f>
        <v>0.24890879864938747</v>
      </c>
      <c r="V23" s="19">
        <f>IF(ISNUMBER(H23),MAX(0,MIN(1,(LOG10(H23)-LD_RLog0)/LD_RSpan)),NA())</f>
        <v>0.26374896538228537</v>
      </c>
      <c r="W23" s="19">
        <f>IF(ISNUMBER(I23),MAX(0,MIN(1,(LOG10(I23)-LD_RLog0)/LD_RSpan)),NA())</f>
        <v>0.28338472709255436</v>
      </c>
      <c r="Y23" s="19">
        <f>MAX(0,MIN(1,(LD_Dec0+4-LD_RLog0)/LD_RSpan))</f>
        <v>0.9247425010840047</v>
      </c>
      <c r="Z23" s="19">
        <v>120.5</v>
      </c>
      <c r="AA23" s="19">
        <f>MAX(0,MIN(1,(LD_Dec0+0+LOG10(6)-LD_RLog0)/LD_RSpan))</f>
        <v>0.1192803136799156</v>
      </c>
      <c r="AB23" s="19">
        <v>120.5</v>
      </c>
    </row>
    <row r="24">
      <c r="A24" s="0">
        <v>10</v>
      </c>
      <c r="B24" s="18">
        <f>LD_Top+(A24+0.5)*LD_Step</f>
        <v>5010.5</v>
      </c>
      <c r="C24" s="0">
        <f>IF(OR(LD_N&lt;2,B24&lt;LD_First,B24&gt;LD_Last),0,MIN(MATCH(B24,LD_Depth,1),LD_N-1))</f>
        <v>22</v>
      </c>
      <c r="D24" s="19">
        <f>IF(C24=0,0,(B24-INDEX(LD_Depth,C24))/(INDEX(LD_Depth,C24+1)-INDEX(LD_Depth,C24)))</f>
        <v>0</v>
      </c>
      <c r="E24" s="0">
        <f>IF(C24=0,NA(),IF(AND(IF(ISNUMBER(INDEX(LD_SP,C24)),INDEX(LD_SP,C24)&lt;&gt;LD_Null,FALSE),OR(D24=0,IF(ISNUMBER(INDEX(LD_SP,C24+1)),INDEX(LD_SP,C24+1)&lt;&gt;LD_Null,FALSE))),IF(D24=0,INDEX(LD_SP,C24),INDEX(LD_SP,C24)+D24*(INDEX(LD_SP,C24+1)-INDEX(LD_SP,C24))),NA()))</f>
        <v>-24.6</v>
      </c>
      <c r="F24" s="0">
        <f>IF(C24=0,NA(),IF(AND(IF(ISNUMBER(INDEX(LD_GR,C24)),INDEX(LD_GR,C24)&lt;&gt;LD_Null,FALSE),OR(D24=0,IF(ISNUMBER(INDEX(LD_GR,C24+1)),INDEX(LD_GR,C24+1)&lt;&gt;LD_Null,FALSE))),IF(D24=0,INDEX(LD_GR,C24),INDEX(LD_GR,C24)+D24*(INDEX(LD_GR,C24+1)-INDEX(LD_GR,C24))),NA()))</f>
        <v>101.1</v>
      </c>
      <c r="G24" s="0">
        <f>IF(C24=0,NA(),IF(AND(IF(ISNUMBER(INDEX(LD_RS,C24)),AND(INDEX(LD_RS,C24)&lt;&gt;LD_Null,INDEX(LD_RS,C24)&gt;0),FALSE),OR(D24=0,IF(ISNUMBER(INDEX(LD_RS,C24+1)),AND(INDEX(LD_RS,C24+1)&lt;&gt;LD_Null,INDEX(LD_RS,C24+1)&gt;0),FALSE))),IF(D24=0,INDEX(LD_RS,C24),INDEX(LD_RS,C24)+D24*(INDEX(LD_RS,C24+1)-INDEX(LD_RS,C24))),NA()))</f>
        <v>2.55</v>
      </c>
      <c r="H24" s="0">
        <f>IF(C24=0,NA(),IF(AND(IF(ISNUMBER(INDEX(LD_RM,C24)),AND(INDEX(LD_RM,C24)&lt;&gt;LD_Null,INDEX(LD_RM,C24)&gt;0),FALSE),OR(D24=0,IF(ISNUMBER(INDEX(LD_RM,C24+1)),AND(INDEX(LD_RM,C24+1)&lt;&gt;LD_Null,INDEX(LD_RM,C24+1)&gt;0),FALSE))),IF(D24=0,INDEX(LD_RM,C24),INDEX(LD_RM,C24)+D24*(INDEX(LD_RM,C24+1)-INDEX(LD_RM,C24))),NA()))</f>
        <v>3.15</v>
      </c>
      <c r="I24" s="0">
        <f>IF(C24=0,NA(),IF(AND(IF(ISNUMBER(INDEX(LD_RD,C24)),AND(INDEX(LD_RD,C24)&lt;&gt;LD_Null,INDEX(LD_RD,C24)&gt;0),FALSE),OR(D24=0,IF(ISNUMBER(INDEX(LD_RD,C24+1)),AND(INDEX(LD_RD,C24+1)&lt;&gt;LD_Null,INDEX(LD_RD,C24+1)&gt;0),FALSE))),IF(D24=0,INDEX(LD_RD,C24),INDEX(LD_RD,C24)+D24*(INDEX(LD_RD,C24+1)-INDEX(LD_RD,C24))),NA()))</f>
        <v>3.69</v>
      </c>
      <c r="J24" s="19">
        <f>IF(ISNUMBER(F24),MAX(0,MIN(1,(F24-LD_GRClean)/(LD_GRShale-LD_GRClean))),NA())</f>
        <v>0.8364705882352941</v>
      </c>
      <c r="K24" s="19">
        <f>IF(ISNUMBER(E24),(MAX(LD_SPMin,MIN(E24,LD_SPBase))-LD_SPMin)/(LD_SPMax-LD_SPMin),NA())</f>
        <v>0.754</v>
      </c>
      <c r="L24" s="19">
        <f>IF(ISNUMBER(E24),(LD_SPBase-MAX(LD_SPMin,MIN(E24,LD_SPBase)))/(LD_SPMax-LD_SPMin),NA())</f>
        <v>0.09600000000000002</v>
      </c>
      <c r="M24" s="19">
        <f>IF(ISNUMBER(E24),(MIN(LD_SPMax,MAX(E24,LD_SPBase))-LD_SPBase)/(LD_SPMax-LD_SPMin),NA())</f>
        <v>0</v>
      </c>
      <c r="N24" s="19">
        <f>IF(ISNUMBER(F24),MAX(0,MIN(1,(F24-LD_GRMin)/(LD_GRMax-LD_GRMin))),NA())</f>
        <v>0.6739999999999999</v>
      </c>
      <c r="O24" s="0">
        <f>IF(ISNUMBER(F24),(F24&gt;=LD_GRB1)+(F24&gt;=LD_GRB2)+(F24&gt;=LD_GRB3)+(F24&gt;=LD_GRB4),NA())</f>
        <v>3</v>
      </c>
      <c r="P24" s="19">
        <f>IF(ISNUMBER(O24),IF(O24=0,N24,0),NA())</f>
        <v>0</v>
      </c>
      <c r="Q24" s="19">
        <f>IF(ISNUMBER(O24),IF(O24=1,N24,0),NA())</f>
        <v>0</v>
      </c>
      <c r="R24" s="19">
        <f>IF(ISNUMBER(O24),IF(O24=2,N24,0),NA())</f>
        <v>0</v>
      </c>
      <c r="S24" s="19">
        <f>IF(ISNUMBER(O24),IF(O24=3,N24,0),NA())</f>
        <v>0.6739999999999999</v>
      </c>
      <c r="T24" s="19">
        <f>IF(ISNUMBER(O24),IF(O24=4,N24,0),NA())</f>
        <v>0</v>
      </c>
      <c r="U24" s="19">
        <f>IF(ISNUMBER(G24),MAX(0,MIN(1,(LOG10(G24)-LD_RLog0)/LD_RSpan)),NA())</f>
        <v>0.27637754619249344</v>
      </c>
      <c r="V24" s="19">
        <f>IF(ISNUMBER(H24),MAX(0,MIN(1,(LOG10(H24)-LD_RLog0)/LD_RSpan)),NA())</f>
        <v>0.2993201395314048</v>
      </c>
      <c r="W24" s="19">
        <f>IF(ISNUMBER(I24),MAX(0,MIN(1,(LOG10(I24)-LD_RLog0)/LD_RSpan)),NA())</f>
        <v>0.3164990926237698</v>
      </c>
      <c r="Y24" s="19">
        <f>MAX(0,MIN(1,(LD_Dec0+5-LD_RLog0)/LD_RSpan))</f>
        <v>1</v>
      </c>
      <c r="Z24" s="19">
        <v>120.5</v>
      </c>
      <c r="AA24" s="19">
        <f>MAX(0,MIN(1,(LD_Dec0+0+LOG10(7)-LD_RLog0)/LD_RSpan))</f>
        <v>0.1360170110875689</v>
      </c>
      <c r="AB24" s="19">
        <v>120.5</v>
      </c>
    </row>
    <row r="25">
      <c r="A25" s="0">
        <v>11</v>
      </c>
      <c r="B25" s="18">
        <f>LD_Top+(A25+0.5)*LD_Step</f>
        <v>5011.5</v>
      </c>
      <c r="C25" s="0">
        <f>IF(OR(LD_N&lt;2,B25&lt;LD_First,B25&gt;LD_Last),0,MIN(MATCH(B25,LD_Depth,1),LD_N-1))</f>
        <v>24</v>
      </c>
      <c r="D25" s="19">
        <f>IF(C25=0,0,(B25-INDEX(LD_Depth,C25))/(INDEX(LD_Depth,C25+1)-INDEX(LD_Depth,C25)))</f>
        <v>0</v>
      </c>
      <c r="E25" s="0">
        <f>IF(C25=0,NA(),IF(AND(IF(ISNUMBER(INDEX(LD_SP,C25)),INDEX(LD_SP,C25)&lt;&gt;LD_Null,FALSE),OR(D25=0,IF(ISNUMBER(INDEX(LD_SP,C25+1)),INDEX(LD_SP,C25+1)&lt;&gt;LD_Null,FALSE))),IF(D25=0,INDEX(LD_SP,C25),INDEX(LD_SP,C25)+D25*(INDEX(LD_SP,C25+1)-INDEX(LD_SP,C25))),NA()))</f>
        <v>-36.3</v>
      </c>
      <c r="F25" s="0">
        <f>IF(C25=0,NA(),IF(AND(IF(ISNUMBER(INDEX(LD_GR,C25)),INDEX(LD_GR,C25)&lt;&gt;LD_Null,FALSE),OR(D25=0,IF(ISNUMBER(INDEX(LD_GR,C25+1)),INDEX(LD_GR,C25+1)&lt;&gt;LD_Null,FALSE))),IF(D25=0,INDEX(LD_GR,C25),INDEX(LD_GR,C25)+D25*(INDEX(LD_GR,C25+1)-INDEX(LD_GR,C25))),NA()))</f>
        <v>86.5</v>
      </c>
      <c r="G25" s="0">
        <f>IF(C25=0,NA(),IF(AND(IF(ISNUMBER(INDEX(LD_RS,C25)),AND(INDEX(LD_RS,C25)&lt;&gt;LD_Null,INDEX(LD_RS,C25)&gt;0),FALSE),OR(D25=0,IF(ISNUMBER(INDEX(LD_RS,C25+1)),AND(INDEX(LD_RS,C25+1)&lt;&gt;LD_Null,INDEX(LD_RS,C25+1)&gt;0),FALSE))),IF(D25=0,INDEX(LD_RS,C25),INDEX(LD_RS,C25)+D25*(INDEX(LD_RS,C25+1)-INDEX(LD_RS,C25))),NA()))</f>
        <v>3.44</v>
      </c>
      <c r="H25" s="0">
        <f>IF(C25=0,NA(),IF(AND(IF(ISNUMBER(INDEX(LD_RM,C25)),AND(INDEX(LD_RM,C25)&lt;&gt;LD_Null,INDEX(LD_RM,C25)&gt;0),FALSE),OR(D25=0,IF(ISNUMBER(INDEX(LD_RM,C25+1)),AND(INDEX(LD_RM,C25+1)&lt;&gt;LD_Null,INDEX(LD_RM,C25+1)&gt;0),FALSE))),IF(D25=0,INDEX(LD_RM,C25),INDEX(LD_RM,C25)+D25*(INDEX(LD_RM,C25+1)-INDEX(LD_RM,C25))),NA()))</f>
        <v>5.44</v>
      </c>
      <c r="I25" s="0">
        <f>IF(C25=0,NA(),IF(AND(IF(ISNUMBER(INDEX(LD_RD,C25)),AND(INDEX(LD_RD,C25)&lt;&gt;LD_Null,INDEX(LD_RD,C25)&gt;0),FALSE),OR(D25=0,IF(ISNUMBER(INDEX(LD_RD,C25+1)),AND(INDEX(LD_RD,C25+1)&lt;&gt;LD_Null,INDEX(LD_RD,C25+1)&gt;0),FALSE))),IF(D25=0,INDEX(LD_RD,C25),INDEX(LD_RD,C25)+D25*(INDEX(LD_RD,C25+1)-INDEX(LD_RD,C25))),NA()))</f>
        <v>6.96</v>
      </c>
      <c r="J25" s="19">
        <f>IF(ISNUMBER(F25),MAX(0,MIN(1,(F25-LD_GRClean)/(LD_GRShale-LD_GRClean))),NA())</f>
        <v>0.6647058823529411</v>
      </c>
      <c r="K25" s="19">
        <f>IF(ISNUMBER(E25),(MAX(LD_SPMin,MIN(E25,LD_SPBase))-LD_SPMin)/(LD_SPMax-LD_SPMin),NA())</f>
        <v>0.637</v>
      </c>
      <c r="L25" s="19">
        <f>IF(ISNUMBER(E25),(LD_SPBase-MAX(LD_SPMin,MIN(E25,LD_SPBase)))/(LD_SPMax-LD_SPMin),NA())</f>
        <v>0.21299999999999997</v>
      </c>
      <c r="M25" s="19">
        <f>IF(ISNUMBER(E25),(MIN(LD_SPMax,MAX(E25,LD_SPBase))-LD_SPBase)/(LD_SPMax-LD_SPMin),NA())</f>
        <v>0</v>
      </c>
      <c r="N25" s="19">
        <f>IF(ISNUMBER(F25),MAX(0,MIN(1,(F25-LD_GRMin)/(LD_GRMax-LD_GRMin))),NA())</f>
        <v>0.5766666666666667</v>
      </c>
      <c r="O25" s="0">
        <f>IF(ISNUMBER(F25),(F25&gt;=LD_GRB1)+(F25&gt;=LD_GRB2)+(F25&gt;=LD_GRB3)+(F25&gt;=LD_GRB4),NA())</f>
        <v>3</v>
      </c>
      <c r="P25" s="19">
        <f>IF(ISNUMBER(O25),IF(O25=0,N25,0),NA())</f>
        <v>0</v>
      </c>
      <c r="Q25" s="19">
        <f>IF(ISNUMBER(O25),IF(O25=1,N25,0),NA())</f>
        <v>0</v>
      </c>
      <c r="R25" s="19">
        <f>IF(ISNUMBER(O25),IF(O25=2,N25,0),NA())</f>
        <v>0</v>
      </c>
      <c r="S25" s="19">
        <f>IF(ISNUMBER(O25),IF(O25=3,N25,0),NA())</f>
        <v>0.5766666666666667</v>
      </c>
      <c r="T25" s="19">
        <f>IF(ISNUMBER(O25),IF(O25=4,N25,0),NA())</f>
        <v>0</v>
      </c>
      <c r="U25" s="19">
        <f>IF(ISNUMBER(G25),MAX(0,MIN(1,(LOG10(G25)-LD_RLog0)/LD_RSpan)),NA())</f>
        <v>0.30888211172688723</v>
      </c>
      <c r="V25" s="19">
        <f>IF(ISNUMBER(H25),MAX(0,MIN(1,(LOG10(H25)-LD_RLog0)/LD_RSpan)),NA())</f>
        <v>0.35864222600854967</v>
      </c>
      <c r="W25" s="19">
        <f>IF(ISNUMBER(I25),MAX(0,MIN(1,(LOG10(I25)-LD_RLog0)/LD_RSpan)),NA())</f>
        <v>0.3853948109866452</v>
      </c>
      <c r="Y25" s="19">
        <f>MAX(0,MIN(1,(LD_Dec0+5-LD_RLog0)/LD_RSpan))</f>
        <v>1</v>
      </c>
      <c r="Z25" s="19">
        <v>-1.5</v>
      </c>
      <c r="AA25" s="19">
        <f>MAX(0,MIN(1,(LD_Dec0+0+LOG10(7)-LD_RLog0)/LD_RSpan))</f>
        <v>0.1360170110875689</v>
      </c>
      <c r="AB25" s="19">
        <v>-1.5</v>
      </c>
    </row>
    <row r="26">
      <c r="A26" s="0">
        <v>12</v>
      </c>
      <c r="B26" s="18">
        <f>LD_Top+(A26+0.5)*LD_Step</f>
        <v>5012.5</v>
      </c>
      <c r="C26" s="0">
        <f>IF(OR(LD_N&lt;2,B26&lt;LD_First,B26&gt;LD_Last),0,MIN(MATCH(B26,LD_Depth,1),LD_N-1))</f>
        <v>26</v>
      </c>
      <c r="D26" s="19">
        <f>IF(C26=0,0,(B26-INDEX(LD_Depth,C26))/(INDEX(LD_Depth,C26+1)-INDEX(LD_Depth,C26)))</f>
        <v>0</v>
      </c>
      <c r="E26" s="0">
        <f>IF(C26=0,NA(),IF(AND(IF(ISNUMBER(INDEX(LD_SP,C26)),INDEX(LD_SP,C26)&lt;&gt;LD_Null,FALSE),OR(D26=0,IF(ISNUMBER(INDEX(LD_SP,C26+1)),INDEX(LD_SP,C26+1)&lt;&gt;LD_Null,FALSE))),IF(D26=0,INDEX(LD_SP,C26),INDEX(LD_SP,C26)+D26*(INDEX(LD_SP,C26+1)-INDEX(LD_SP,C26))),NA()))</f>
        <v>-55.3</v>
      </c>
      <c r="F26" s="0">
        <f>IF(C26=0,NA(),IF(AND(IF(ISNUMBER(INDEX(LD_GR,C26)),INDEX(LD_GR,C26)&lt;&gt;LD_Null,FALSE),OR(D26=0,IF(ISNUMBER(INDEX(LD_GR,C26+1)),INDEX(LD_GR,C26+1)&lt;&gt;LD_Null,FALSE))),IF(D26=0,INDEX(LD_GR,C26),INDEX(LD_GR,C26)+D26*(INDEX(LD_GR,C26+1)-INDEX(LD_GR,C26))),NA()))</f>
        <v>63.4</v>
      </c>
      <c r="G26" s="0">
        <f>IF(C26=0,NA(),IF(AND(IF(ISNUMBER(INDEX(LD_RS,C26)),AND(INDEX(LD_RS,C26)&lt;&gt;LD_Null,INDEX(LD_RS,C26)&gt;0),FALSE),OR(D26=0,IF(ISNUMBER(INDEX(LD_RS,C26+1)),AND(INDEX(LD_RS,C26+1)&lt;&gt;LD_Null,INDEX(LD_RS,C26+1)&gt;0),FALSE))),IF(D26=0,INDEX(LD_RS,C26),INDEX(LD_RS,C26)+D26*(INDEX(LD_RS,C26+1)-INDEX(LD_RS,C26))),NA()))</f>
        <v>5.29</v>
      </c>
      <c r="H26" s="0">
        <f>IF(C26=0,NA(),IF(AND(IF(ISNUMBER(INDEX(LD_RM,C26)),AND(INDEX(LD_RM,C26)&lt;&gt;LD_Null,INDEX(LD_RM,C26)&gt;0),FALSE),OR(D26=0,IF(ISNUMBER(INDEX(LD_RM,C26+1)),AND(INDEX(LD_RM,C26+1)&lt;&gt;LD_Null,INDEX(LD_RM,C26+1)&gt;0),FALSE))),IF(D26=0,INDEX(LD_RM,C26),INDEX(LD_RM,C26)+D26*(INDEX(LD_RM,C26+1)-INDEX(LD_RM,C26))),NA()))</f>
        <v>9.46</v>
      </c>
      <c r="I26" s="0">
        <f>IF(C26=0,NA(),IF(AND(IF(ISNUMBER(INDEX(LD_RD,C26)),AND(INDEX(LD_RD,C26)&lt;&gt;LD_Null,INDEX(LD_RD,C26)&gt;0),FALSE),OR(D26=0,IF(ISNUMBER(INDEX(LD_RD,C26+1)),AND(INDEX(LD_RD,C26+1)&lt;&gt;LD_Null,INDEX(LD_RD,C26+1)&gt;0),FALSE))),IF(D26=0,INDEX(LD_RD,C26),INDEX(LD_RD,C26)+D26*(INDEX(LD_RD,C26+1)-INDEX(LD_RD,C26))),NA()))</f>
        <v>15.9</v>
      </c>
      <c r="J26" s="19">
        <f>IF(ISNUMBER(F26),MAX(0,MIN(1,(F26-LD_GRClean)/(LD_GRShale-LD_GRClean))),NA())</f>
        <v>0.39294117647058824</v>
      </c>
      <c r="K26" s="19">
        <f>IF(ISNUMBER(E26),(MAX(LD_SPMin,MIN(E26,LD_SPBase))-LD_SPMin)/(LD_SPMax-LD_SPMin),NA())</f>
        <v>0.447</v>
      </c>
      <c r="L26" s="19">
        <f>IF(ISNUMBER(E26),(LD_SPBase-MAX(LD_SPMin,MIN(E26,LD_SPBase)))/(LD_SPMax-LD_SPMin),NA())</f>
        <v>0.40299999999999997</v>
      </c>
      <c r="M26" s="19">
        <f>IF(ISNUMBER(E26),(MIN(LD_SPMax,MAX(E26,LD_SPBase))-LD_SPBase)/(LD_SPMax-LD_SPMin),NA())</f>
        <v>0</v>
      </c>
      <c r="N26" s="19">
        <f>IF(ISNUMBER(F26),MAX(0,MIN(1,(F26-LD_GRMin)/(LD_GRMax-LD_GRMin))),NA())</f>
        <v>0.42266666666666663</v>
      </c>
      <c r="O26" s="0">
        <f>IF(ISNUMBER(F26),(F26&gt;=LD_GRB1)+(F26&gt;=LD_GRB2)+(F26&gt;=LD_GRB3)+(F26&gt;=LD_GRB4),NA())</f>
        <v>1</v>
      </c>
      <c r="P26" s="19">
        <f>IF(ISNUMBER(O26),IF(O26=0,N26,0),NA())</f>
        <v>0</v>
      </c>
      <c r="Q26" s="19">
        <f>IF(ISNUMBER(O26),IF(O26=1,N26,0),NA())</f>
        <v>0.42266666666666663</v>
      </c>
      <c r="R26" s="19">
        <f>IF(ISNUMBER(O26),IF(O26=2,N26,0),NA())</f>
        <v>0</v>
      </c>
      <c r="S26" s="19">
        <f>IF(ISNUMBER(O26),IF(O26=3,N26,0),NA())</f>
        <v>0</v>
      </c>
      <c r="T26" s="19">
        <f>IF(ISNUMBER(O26),IF(O26=4,N26,0),NA())</f>
        <v>0</v>
      </c>
      <c r="U26" s="19">
        <f>IF(ISNUMBER(G26),MAX(0,MIN(1,(LOG10(G26)-LD_RLog0)/LD_RSpan)),NA())</f>
        <v>0.3556064190928011</v>
      </c>
      <c r="V26" s="19">
        <f>IF(ISNUMBER(H26),MAX(0,MIN(1,(LOG10(H26)-LD_RLog0)/LD_RSpan)),NA())</f>
        <v>0.4187152851844529</v>
      </c>
      <c r="W26" s="19">
        <f>IF(ISNUMBER(I26),MAX(0,MIN(1,(LOG10(I26)-LD_RLog0)/LD_RSpan)),NA())</f>
        <v>0.47509178216411757</v>
      </c>
      <c r="Y26" s="19">
        <f>MAX(0,MIN(1,(LD_Dec0+6-LD_RLog0)/LD_RSpan))</f>
        <v>1</v>
      </c>
      <c r="Z26" s="19">
        <v>-1.5</v>
      </c>
      <c r="AA26" s="19">
        <f>MAX(0,MIN(1,(LD_Dec0+0+LOG10(8)-LD_RLog0)/LD_RSpan))</f>
        <v>0.15051499783199057</v>
      </c>
      <c r="AB26" s="19">
        <v>-1.5</v>
      </c>
    </row>
    <row r="27">
      <c r="A27" s="0">
        <v>13</v>
      </c>
      <c r="B27" s="18">
        <f>LD_Top+(A27+0.5)*LD_Step</f>
        <v>5013.5</v>
      </c>
      <c r="C27" s="0">
        <f>IF(OR(LD_N&lt;2,B27&lt;LD_First,B27&gt;LD_Last),0,MIN(MATCH(B27,LD_Depth,1),LD_N-1))</f>
        <v>28</v>
      </c>
      <c r="D27" s="19">
        <f>IF(C27=0,0,(B27-INDEX(LD_Depth,C27))/(INDEX(LD_Depth,C27+1)-INDEX(LD_Depth,C27)))</f>
        <v>0</v>
      </c>
      <c r="E27" s="0">
        <f>IF(C27=0,NA(),IF(AND(IF(ISNUMBER(INDEX(LD_SP,C27)),INDEX(LD_SP,C27)&lt;&gt;LD_Null,FALSE),OR(D27=0,IF(ISNUMBER(INDEX(LD_SP,C27+1)),INDEX(LD_SP,C27+1)&lt;&gt;LD_Null,FALSE))),IF(D27=0,INDEX(LD_SP,C27),INDEX(LD_SP,C27)+D27*(INDEX(LD_SP,C27+1)-INDEX(LD_SP,C27))),NA()))</f>
        <v>-70.4</v>
      </c>
      <c r="F27" s="0">
        <f>IF(C27=0,NA(),IF(AND(IF(ISNUMBER(INDEX(LD_GR,C27)),INDEX(LD_GR,C27)&lt;&gt;LD_Null,FALSE),OR(D27=0,IF(ISNUMBER(INDEX(LD_GR,C27+1)),INDEX(LD_GR,C27+1)&lt;&gt;LD_Null,FALSE))),IF(D27=0,INDEX(LD_GR,C27),INDEX(LD_GR,C27)+D27*(INDEX(LD_GR,C27+1)-INDEX(LD_GR,C27))),NA()))</f>
        <v>41.5</v>
      </c>
      <c r="G27" s="0">
        <f>IF(C27=0,NA(),IF(AND(IF(ISNUMBER(INDEX(LD_RS,C27)),AND(INDEX(LD_RS,C27)&lt;&gt;LD_Null,INDEX(LD_RS,C27)&gt;0),FALSE),OR(D27=0,IF(ISNUMBER(INDEX(LD_RS,C27+1)),AND(INDEX(LD_RS,C27+1)&lt;&gt;LD_Null,INDEX(LD_RS,C27+1)&gt;0),FALSE))),IF(D27=0,INDEX(LD_RS,C27),INDEX(LD_RS,C27)+D27*(INDEX(LD_RS,C27+1)-INDEX(LD_RS,C27))),NA()))</f>
        <v>7.12</v>
      </c>
      <c r="H27" s="0">
        <f>IF(C27=0,NA(),IF(AND(IF(ISNUMBER(INDEX(LD_RM,C27)),AND(INDEX(LD_RM,C27)&lt;&gt;LD_Null,INDEX(LD_RM,C27)&gt;0),FALSE),OR(D27=0,IF(ISNUMBER(INDEX(LD_RM,C27+1)),AND(INDEX(LD_RM,C27+1)&lt;&gt;LD_Null,INDEX(LD_RM,C27+1)&gt;0),FALSE))),IF(D27=0,INDEX(LD_RM,C27),INDEX(LD_RM,C27)+D27*(INDEX(LD_RM,C27+1)-INDEX(LD_RM,C27))),NA()))</f>
        <v>17.5</v>
      </c>
      <c r="I27" s="0">
        <f>IF(C27=0,NA(),IF(AND(IF(ISNUMBER(INDEX(LD_RD,C27)),AND(INDEX(LD_RD,C27)&lt;&gt;LD_Null,INDEX(LD_RD,C27)&gt;0),FALSE),OR(D27=0,IF(ISNUMBER(INDEX(LD_RD,C27+1)),AND(INDEX(LD_RD,C27+1)&lt;&gt;LD_Null,INDEX(LD_RD,C27+1)&gt;0),FALSE))),IF(D27=0,INDEX(LD_RD,C27),INDEX(LD_RD,C27)+D27*(INDEX(LD_RD,C27+1)-INDEX(LD_RD,C27))),NA()))</f>
        <v>32.2</v>
      </c>
      <c r="J27" s="19">
        <f>IF(ISNUMBER(F27),MAX(0,MIN(1,(F27-LD_GRClean)/(LD_GRShale-LD_GRClean))),NA())</f>
        <v>0.13529411764705881</v>
      </c>
      <c r="K27" s="19">
        <f>IF(ISNUMBER(E27),(MAX(LD_SPMin,MIN(E27,LD_SPBase))-LD_SPMin)/(LD_SPMax-LD_SPMin),NA())</f>
        <v>0.29599999999999993</v>
      </c>
      <c r="L27" s="19">
        <f>IF(ISNUMBER(E27),(LD_SPBase-MAX(LD_SPMin,MIN(E27,LD_SPBase)))/(LD_SPMax-LD_SPMin),NA())</f>
        <v>0.554</v>
      </c>
      <c r="M27" s="19">
        <f>IF(ISNUMBER(E27),(MIN(LD_SPMax,MAX(E27,LD_SPBase))-LD_SPBase)/(LD_SPMax-LD_SPMin),NA())</f>
        <v>0</v>
      </c>
      <c r="N27" s="19">
        <f>IF(ISNUMBER(F27),MAX(0,MIN(1,(F27-LD_GRMin)/(LD_GRMax-LD_GRMin))),NA())</f>
        <v>0.27666666666666667</v>
      </c>
      <c r="O27" s="0">
        <f>IF(ISNUMBER(F27),(F27&gt;=LD_GRB1)+(F27&gt;=LD_GRB2)+(F27&gt;=LD_GRB3)+(F27&gt;=LD_GRB4),NA())</f>
        <v>0</v>
      </c>
      <c r="P27" s="19">
        <f>IF(ISNUMBER(O27),IF(O27=0,N27,0),NA())</f>
        <v>0.27666666666666667</v>
      </c>
      <c r="Q27" s="19">
        <f>IF(ISNUMBER(O27),IF(O27=1,N27,0),NA())</f>
        <v>0</v>
      </c>
      <c r="R27" s="19">
        <f>IF(ISNUMBER(O27),IF(O27=2,N27,0),NA())</f>
        <v>0</v>
      </c>
      <c r="S27" s="19">
        <f>IF(ISNUMBER(O27),IF(O27=3,N27,0),NA())</f>
        <v>0</v>
      </c>
      <c r="T27" s="19">
        <f>IF(ISNUMBER(O27),IF(O27=4,N27,0),NA())</f>
        <v>0</v>
      </c>
      <c r="U27" s="19">
        <f>IF(ISNUMBER(G27),MAX(0,MIN(1,(LOG10(G27)-LD_RLog0)/LD_RSpan)),NA())</f>
        <v>0.38786249949321877</v>
      </c>
      <c r="V27" s="19">
        <f>IF(ISNUMBER(H27),MAX(0,MIN(1,(LOG10(H27)-LD_RLog0)/LD_RSpan)),NA())</f>
        <v>0.4855020132555783</v>
      </c>
      <c r="W27" s="19">
        <f>IF(ISNUMBER(I27),MAX(0,MIN(1,(LOG10(I27)-LD_RLog0)/LD_RSpan)),NA())</f>
        <v>0.5517064690079625</v>
      </c>
      <c r="Y27" s="19">
        <f>MAX(0,MIN(1,(LD_Dec0+6-LD_RLog0)/LD_RSpan))</f>
        <v>1</v>
      </c>
      <c r="Z27" s="19">
        <v>120.5</v>
      </c>
      <c r="AA27" s="19">
        <f>MAX(0,MIN(1,(LD_Dec0+0+LOG10(8)-LD_RLog0)/LD_RSpan))</f>
        <v>0.15051499783199057</v>
      </c>
      <c r="AB27" s="19">
        <v>120.5</v>
      </c>
    </row>
    <row r="28">
      <c r="A28" s="0">
        <v>14</v>
      </c>
      <c r="B28" s="18">
        <f>LD_Top+(A28+0.5)*LD_Step</f>
        <v>5014.5</v>
      </c>
      <c r="C28" s="0">
        <f>IF(OR(LD_N&lt;2,B28&lt;LD_First,B28&gt;LD_Last),0,MIN(MATCH(B28,LD_Depth,1),LD_N-1))</f>
        <v>30</v>
      </c>
      <c r="D28" s="19">
        <f>IF(C28=0,0,(B28-INDEX(LD_Depth,C28))/(INDEX(LD_Depth,C28+1)-INDEX(LD_Depth,C28)))</f>
        <v>0</v>
      </c>
      <c r="E28" s="0">
        <f>IF(C28=0,NA(),IF(AND(IF(ISNUMBER(INDEX(LD_SP,C28)),INDEX(LD_SP,C28)&lt;&gt;LD_Null,FALSE),OR(D28=0,IF(ISNUMBER(INDEX(LD_SP,C28+1)),INDEX(LD_SP,C28+1)&lt;&gt;LD_Null,FALSE))),IF(D28=0,INDEX(LD_SP,C28),INDEX(LD_SP,C28)+D28*(INDEX(LD_SP,C28+1)-INDEX(LD_SP,C28))),NA()))</f>
        <v>-75.9</v>
      </c>
      <c r="F28" s="0">
        <f>IF(C28=0,NA(),IF(AND(IF(ISNUMBER(INDEX(LD_GR,C28)),INDEX(LD_GR,C28)&lt;&gt;LD_Null,FALSE),OR(D28=0,IF(ISNUMBER(INDEX(LD_GR,C28+1)),INDEX(LD_GR,C28+1)&lt;&gt;LD_Null,FALSE))),IF(D28=0,INDEX(LD_GR,C28),INDEX(LD_GR,C28)+D28*(INDEX(LD_GR,C28+1)-INDEX(LD_GR,C28))),NA()))</f>
        <v>35.1</v>
      </c>
      <c r="G28" s="0">
        <f>IF(C28=0,NA(),IF(AND(IF(ISNUMBER(INDEX(LD_RS,C28)),AND(INDEX(LD_RS,C28)&lt;&gt;LD_Null,INDEX(LD_RS,C28)&gt;0),FALSE),OR(D28=0,IF(ISNUMBER(INDEX(LD_RS,C28+1)),AND(INDEX(LD_RS,C28+1)&lt;&gt;LD_Null,INDEX(LD_RS,C28+1)&gt;0),FALSE))),IF(D28=0,INDEX(LD_RS,C28),INDEX(LD_RS,C28)+D28*(INDEX(LD_RS,C28+1)-INDEX(LD_RS,C28))),NA()))</f>
        <v>8.6</v>
      </c>
      <c r="H28" s="0">
        <f>IF(C28=0,NA(),IF(AND(IF(ISNUMBER(INDEX(LD_RM,C28)),AND(INDEX(LD_RM,C28)&lt;&gt;LD_Null,INDEX(LD_RM,C28)&gt;0),FALSE),OR(D28=0,IF(ISNUMBER(INDEX(LD_RM,C28+1)),AND(INDEX(LD_RM,C28+1)&lt;&gt;LD_Null,INDEX(LD_RM,C28+1)&gt;0),FALSE))),IF(D28=0,INDEX(LD_RM,C28),INDEX(LD_RM,C28)+D28*(INDEX(LD_RM,C28+1)-INDEX(LD_RM,C28))),NA()))</f>
        <v>23.2</v>
      </c>
      <c r="I28" s="0">
        <f>IF(C28=0,NA(),IF(AND(IF(ISNUMBER(INDEX(LD_RD,C28)),AND(INDEX(LD_RD,C28)&lt;&gt;LD_Null,INDEX(LD_RD,C28)&gt;0),FALSE),OR(D28=0,IF(ISNUMBER(INDEX(LD_RD,C28+1)),AND(INDEX(LD_RD,C28+1)&lt;&gt;LD_Null,INDEX(LD_RD,C28+1)&gt;0),FALSE))),IF(D28=0,INDEX(LD_RD,C28),INDEX(LD_RD,C28)+D28*(INDEX(LD_RD,C28+1)-INDEX(LD_RD,C28))),NA()))</f>
        <v>45.9</v>
      </c>
      <c r="J28" s="19">
        <f>IF(ISNUMBER(F28),MAX(0,MIN(1,(F28-LD_GRClean)/(LD_GRShale-LD_GRClean))),NA())</f>
        <v>0.06000000000000002</v>
      </c>
      <c r="K28" s="19">
        <f>IF(ISNUMBER(E28),(MAX(LD_SPMin,MIN(E28,LD_SPBase))-LD_SPMin)/(LD_SPMax-LD_SPMin),NA())</f>
        <v>0.24099999999999994</v>
      </c>
      <c r="L28" s="19">
        <f>IF(ISNUMBER(E28),(LD_SPBase-MAX(LD_SPMin,MIN(E28,LD_SPBase)))/(LD_SPMax-LD_SPMin),NA())</f>
        <v>0.6090000000000001</v>
      </c>
      <c r="M28" s="19">
        <f>IF(ISNUMBER(E28),(MIN(LD_SPMax,MAX(E28,LD_SPBase))-LD_SPBase)/(LD_SPMax-LD_SPMin),NA())</f>
        <v>0</v>
      </c>
      <c r="N28" s="19">
        <f>IF(ISNUMBER(F28),MAX(0,MIN(1,(F28-LD_GRMin)/(LD_GRMax-LD_GRMin))),NA())</f>
        <v>0.234</v>
      </c>
      <c r="O28" s="0">
        <f>IF(ISNUMBER(F28),(F28&gt;=LD_GRB1)+(F28&gt;=LD_GRB2)+(F28&gt;=LD_GRB3)+(F28&gt;=LD_GRB4),NA())</f>
        <v>0</v>
      </c>
      <c r="P28" s="19">
        <f>IF(ISNUMBER(O28),IF(O28=0,N28,0),NA())</f>
        <v>0.234</v>
      </c>
      <c r="Q28" s="19">
        <f>IF(ISNUMBER(O28),IF(O28=1,N28,0),NA())</f>
        <v>0</v>
      </c>
      <c r="R28" s="19">
        <f>IF(ISNUMBER(O28),IF(O28=2,N28,0),NA())</f>
        <v>0</v>
      </c>
      <c r="S28" s="19">
        <f>IF(ISNUMBER(O28),IF(O28=3,N28,0),NA())</f>
        <v>0</v>
      </c>
      <c r="T28" s="19">
        <f>IF(ISNUMBER(O28),IF(O28=4,N28,0),NA())</f>
        <v>0</v>
      </c>
      <c r="U28" s="19">
        <f>IF(ISNUMBER(G28),MAX(0,MIN(1,(LOG10(G28)-LD_RLog0)/LD_RSpan)),NA())</f>
        <v>0.4083671138948966</v>
      </c>
      <c r="V28" s="19">
        <f>IF(ISNUMBER(H28),MAX(0,MIN(1,(LOG10(H28)-LD_RLog0)/LD_RSpan)),NA())</f>
        <v>0.5161144973067295</v>
      </c>
      <c r="W28" s="19">
        <f>IF(ISNUMBER(I28),MAX(0,MIN(1,(LOG10(I28)-LD_RLog0)/LD_RSpan)),NA())</f>
        <v>0.5901956724683199</v>
      </c>
      <c r="Y28" s="19"/>
      <c r="Z28" s="19"/>
      <c r="AA28" s="19">
        <f>MAX(0,MIN(1,(LD_Dec0+0+LOG10(9)-LD_RLog0)/LD_RSpan))</f>
        <v>0.1633031284438359</v>
      </c>
      <c r="AB28" s="19">
        <v>120.5</v>
      </c>
    </row>
    <row r="29">
      <c r="A29" s="0">
        <v>15</v>
      </c>
      <c r="B29" s="18">
        <f>LD_Top+(A29+0.5)*LD_Step</f>
        <v>5015.5</v>
      </c>
      <c r="C29" s="0">
        <f>IF(OR(LD_N&lt;2,B29&lt;LD_First,B29&gt;LD_Last),0,MIN(MATCH(B29,LD_Depth,1),LD_N-1))</f>
        <v>32</v>
      </c>
      <c r="D29" s="19">
        <f>IF(C29=0,0,(B29-INDEX(LD_Depth,C29))/(INDEX(LD_Depth,C29+1)-INDEX(LD_Depth,C29)))</f>
        <v>0</v>
      </c>
      <c r="E29" s="0">
        <f>IF(C29=0,NA(),IF(AND(IF(ISNUMBER(INDEX(LD_SP,C29)),INDEX(LD_SP,C29)&lt;&gt;LD_Null,FALSE),OR(D29=0,IF(ISNUMBER(INDEX(LD_SP,C29+1)),INDEX(LD_SP,C29+1)&lt;&gt;LD_Null,FALSE))),IF(D29=0,INDEX(LD_SP,C29),INDEX(LD_SP,C29)+D29*(INDEX(LD_SP,C29+1)-INDEX(LD_SP,C29))),NA()))</f>
        <v>-75.9</v>
      </c>
      <c r="F29" s="0">
        <f>IF(C29=0,NA(),IF(AND(IF(ISNUMBER(INDEX(LD_GR,C29)),INDEX(LD_GR,C29)&lt;&gt;LD_Null,FALSE),OR(D29=0,IF(ISNUMBER(INDEX(LD_GR,C29+1)),INDEX(LD_GR,C29+1)&lt;&gt;LD_Null,FALSE))),IF(D29=0,INDEX(LD_GR,C29),INDEX(LD_GR,C29)+D29*(INDEX(LD_GR,C29+1)-INDEX(LD_GR,C29))),NA()))</f>
        <v>32.4</v>
      </c>
      <c r="G29" s="0">
        <f>IF(C29=0,NA(),IF(AND(IF(ISNUMBER(INDEX(LD_RS,C29)),AND(INDEX(LD_RS,C29)&lt;&gt;LD_Null,INDEX(LD_RS,C29)&gt;0),FALSE),OR(D29=0,IF(ISNUMBER(INDEX(LD_RS,C29+1)),AND(INDEX(LD_RS,C29+1)&lt;&gt;LD_Null,INDEX(LD_RS,C29+1)&gt;0),FALSE))),IF(D29=0,INDEX(LD_RS,C29),INDEX(LD_RS,C29)+D29*(INDEX(LD_RS,C29+1)-INDEX(LD_RS,C29))),NA()))</f>
        <v>9.08</v>
      </c>
      <c r="H29" s="0">
        <f>IF(C29=0,NA(),IF(AND(IF(ISNUMBER(INDEX(LD_RM,C29)),AND(INDEX(LD_RM,C29)&lt;&gt;LD_Null,INDEX(LD_RM,C29)&gt;0),FALSE),OR(D29=0,IF(ISNUMBER(INDEX(LD_RM,C29+1)),AND(INDEX(LD_RM,C29+1)&lt;&gt;LD_Null,INDEX(LD_RM,C29+1)&gt;0),FALSE))),IF(D29=0,INDEX(LD_RM,C29),INDEX(LD_RM,C29)+D29*(INDEX(LD_RM,C29+1)-INDEX(LD_RM,C29))),NA()))</f>
        <v>22.9</v>
      </c>
      <c r="I29" s="0">
        <f>IF(C29=0,NA(),IF(AND(IF(ISNUMBER(INDEX(LD_RD,C29)),AND(INDEX(LD_RD,C29)&lt;&gt;LD_Null,INDEX(LD_RD,C29)&gt;0),FALSE),OR(D29=0,IF(ISNUMBER(INDEX(LD_RD,C29+1)),AND(INDEX(LD_RD,C29+1)&lt;&gt;LD_Null,INDEX(LD_RD,C29+1)&gt;0),FALSE))),IF(D29=0,INDEX(LD_RD,C29),INDEX(LD_RD,C29)+D29*(INDEX(LD_RD,C29+1)-INDEX(LD_RD,C29))),NA()))</f>
        <v>44.7</v>
      </c>
      <c r="J29" s="19">
        <f>IF(ISNUMBER(F29),MAX(0,MIN(1,(F29-LD_GRClean)/(LD_GRShale-LD_GRClean))),NA())</f>
        <v>0.028235294117647042</v>
      </c>
      <c r="K29" s="19">
        <f>IF(ISNUMBER(E29),(MAX(LD_SPMin,MIN(E29,LD_SPBase))-LD_SPMin)/(LD_SPMax-LD_SPMin),NA())</f>
        <v>0.24099999999999994</v>
      </c>
      <c r="L29" s="19">
        <f>IF(ISNUMBER(E29),(LD_SPBase-MAX(LD_SPMin,MIN(E29,LD_SPBase)))/(LD_SPMax-LD_SPMin),NA())</f>
        <v>0.6090000000000001</v>
      </c>
      <c r="M29" s="19">
        <f>IF(ISNUMBER(E29),(MIN(LD_SPMax,MAX(E29,LD_SPBase))-LD_SPBase)/(LD_SPMax-LD_SPMin),NA())</f>
        <v>0</v>
      </c>
      <c r="N29" s="19">
        <f>IF(ISNUMBER(F29),MAX(0,MIN(1,(F29-LD_GRMin)/(LD_GRMax-LD_GRMin))),NA())</f>
        <v>0.216</v>
      </c>
      <c r="O29" s="0">
        <f>IF(ISNUMBER(F29),(F29&gt;=LD_GRB1)+(F29&gt;=LD_GRB2)+(F29&gt;=LD_GRB3)+(F29&gt;=LD_GRB4),NA())</f>
        <v>0</v>
      </c>
      <c r="P29" s="19">
        <f>IF(ISNUMBER(O29),IF(O29=0,N29,0),NA())</f>
        <v>0.216</v>
      </c>
      <c r="Q29" s="19">
        <f>IF(ISNUMBER(O29),IF(O29=1,N29,0),NA())</f>
        <v>0</v>
      </c>
      <c r="R29" s="19">
        <f>IF(ISNUMBER(O29),IF(O29=2,N29,0),NA())</f>
        <v>0</v>
      </c>
      <c r="S29" s="19">
        <f>IF(ISNUMBER(O29),IF(O29=3,N29,0),NA())</f>
        <v>0</v>
      </c>
      <c r="T29" s="19">
        <f>IF(ISNUMBER(O29),IF(O29=4,N29,0),NA())</f>
        <v>0</v>
      </c>
      <c r="U29" s="19">
        <f>IF(ISNUMBER(G29),MAX(0,MIN(1,(LOG10(G29)-LD_RLog0)/LD_RSpan)),NA())</f>
        <v>0.41426396321427594</v>
      </c>
      <c r="V29" s="19">
        <f>IF(ISNUMBER(H29),MAX(0,MIN(1,(LOG10(H29)-LD_RLog0)/LD_RSpan)),NA())</f>
        <v>0.5147013716689767</v>
      </c>
      <c r="W29" s="19">
        <f>IF(ISNUMBER(I29),MAX(0,MIN(1,(LOG10(I29)-LD_RLog0)/LD_RSpan)),NA())</f>
        <v>0.5873193818669888</v>
      </c>
      <c r="Y29" s="19"/>
      <c r="Z29" s="19"/>
      <c r="AA29" s="19">
        <f>MAX(0,MIN(1,(LD_Dec0+0+LOG10(9)-LD_RLog0)/LD_RSpan))</f>
        <v>0.1633031284438359</v>
      </c>
      <c r="AB29" s="19">
        <v>-1.5</v>
      </c>
    </row>
    <row r="30">
      <c r="A30" s="0">
        <v>16</v>
      </c>
      <c r="B30" s="18">
        <f>LD_Top+(A30+0.5)*LD_Step</f>
        <v>5016.5</v>
      </c>
      <c r="C30" s="0">
        <f>IF(OR(LD_N&lt;2,B30&lt;LD_First,B30&gt;LD_Last),0,MIN(MATCH(B30,LD_Depth,1),LD_N-1))</f>
        <v>34</v>
      </c>
      <c r="D30" s="19">
        <f>IF(C30=0,0,(B30-INDEX(LD_Depth,C30))/(INDEX(LD_Depth,C30+1)-INDEX(LD_Depth,C30)))</f>
        <v>0</v>
      </c>
      <c r="E30" s="0">
        <f>IF(C30=0,NA(),IF(AND(IF(ISNUMBER(INDEX(LD_SP,C30)),INDEX(LD_SP,C30)&lt;&gt;LD_Null,FALSE),OR(D30=0,IF(ISNUMBER(INDEX(LD_SP,C30+1)),INDEX(LD_SP,C30+1)&lt;&gt;LD_Null,FALSE))),IF(D30=0,INDEX(LD_SP,C30),INDEX(LD_SP,C30)+D30*(INDEX(LD_SP,C30+1)-INDEX(LD_SP,C30))),NA()))</f>
        <v>-78.2</v>
      </c>
      <c r="F30" s="0">
        <f>IF(C30=0,NA(),IF(AND(IF(ISNUMBER(INDEX(LD_GR,C30)),INDEX(LD_GR,C30)&lt;&gt;LD_Null,FALSE),OR(D30=0,IF(ISNUMBER(INDEX(LD_GR,C30+1)),INDEX(LD_GR,C30+1)&lt;&gt;LD_Null,FALSE))),IF(D30=0,INDEX(LD_GR,C30),INDEX(LD_GR,C30)+D30*(INDEX(LD_GR,C30+1)-INDEX(LD_GR,C30))),NA()))</f>
        <v>34.8</v>
      </c>
      <c r="G30" s="0">
        <f>IF(C30=0,NA(),IF(AND(IF(ISNUMBER(INDEX(LD_RS,C30)),AND(INDEX(LD_RS,C30)&lt;&gt;LD_Null,INDEX(LD_RS,C30)&gt;0),FALSE),OR(D30=0,IF(ISNUMBER(INDEX(LD_RS,C30+1)),AND(INDEX(LD_RS,C30+1)&lt;&gt;LD_Null,INDEX(LD_RS,C30+1)&gt;0),FALSE))),IF(D30=0,INDEX(LD_RS,C30),INDEX(LD_RS,C30)+D30*(INDEX(LD_RS,C30+1)-INDEX(LD_RS,C30))),NA()))</f>
        <v>8.92</v>
      </c>
      <c r="H30" s="0">
        <f>IF(C30=0,NA(),IF(AND(IF(ISNUMBER(INDEX(LD_RM,C30)),AND(INDEX(LD_RM,C30)&lt;&gt;LD_Null,INDEX(LD_RM,C30)&gt;0),FALSE),OR(D30=0,IF(ISNUMBER(INDEX(LD_RM,C30+1)),AND(INDEX(LD_RM,C30+1)&lt;&gt;LD_Null,INDEX(LD_RM,C30+1)&gt;0),FALSE))),IF(D30=0,INDEX(LD_RM,C30),INDEX(LD_RM,C30)+D30*(INDEX(LD_RM,C30+1)-INDEX(LD_RM,C30))),NA()))</f>
        <v>22.9</v>
      </c>
      <c r="I30" s="0">
        <f>IF(C30=0,NA(),IF(AND(IF(ISNUMBER(INDEX(LD_RD,C30)),AND(INDEX(LD_RD,C30)&lt;&gt;LD_Null,INDEX(LD_RD,C30)&gt;0),FALSE),OR(D30=0,IF(ISNUMBER(INDEX(LD_RD,C30+1)),AND(INDEX(LD_RD,C30+1)&lt;&gt;LD_Null,INDEX(LD_RD,C30+1)&gt;0),FALSE))),IF(D30=0,INDEX(LD_RD,C30),INDEX(LD_RD,C30)+D30*(INDEX(LD_RD,C30+1)-INDEX(LD_RD,C30))),NA()))</f>
        <v>43.8</v>
      </c>
      <c r="J30" s="19">
        <f>IF(ISNUMBER(F30),MAX(0,MIN(1,(F30-LD_GRClean)/(LD_GRShale-LD_GRClean))),NA())</f>
        <v>0.056470588235294085</v>
      </c>
      <c r="K30" s="19">
        <f>IF(ISNUMBER(E30),(MAX(LD_SPMin,MIN(E30,LD_SPBase))-LD_SPMin)/(LD_SPMax-LD_SPMin),NA())</f>
        <v>0.21799999999999997</v>
      </c>
      <c r="L30" s="19">
        <f>IF(ISNUMBER(E30),(LD_SPBase-MAX(LD_SPMin,MIN(E30,LD_SPBase)))/(LD_SPMax-LD_SPMin),NA())</f>
        <v>0.632</v>
      </c>
      <c r="M30" s="19">
        <f>IF(ISNUMBER(E30),(MIN(LD_SPMax,MAX(E30,LD_SPBase))-LD_SPBase)/(LD_SPMax-LD_SPMin),NA())</f>
        <v>0</v>
      </c>
      <c r="N30" s="19">
        <f>IF(ISNUMBER(F30),MAX(0,MIN(1,(F30-LD_GRMin)/(LD_GRMax-LD_GRMin))),NA())</f>
        <v>0.23199999999999998</v>
      </c>
      <c r="O30" s="0">
        <f>IF(ISNUMBER(F30),(F30&gt;=LD_GRB1)+(F30&gt;=LD_GRB2)+(F30&gt;=LD_GRB3)+(F30&gt;=LD_GRB4),NA())</f>
        <v>0</v>
      </c>
      <c r="P30" s="19">
        <f>IF(ISNUMBER(O30),IF(O30=0,N30,0),NA())</f>
        <v>0.23199999999999998</v>
      </c>
      <c r="Q30" s="19">
        <f>IF(ISNUMBER(O30),IF(O30=1,N30,0),NA())</f>
        <v>0</v>
      </c>
      <c r="R30" s="19">
        <f>IF(ISNUMBER(O30),IF(O30=2,N30,0),NA())</f>
        <v>0</v>
      </c>
      <c r="S30" s="19">
        <f>IF(ISNUMBER(O30),IF(O30=3,N30,0),NA())</f>
        <v>0</v>
      </c>
      <c r="T30" s="19">
        <f>IF(ISNUMBER(O30),IF(O30=4,N30,0),NA())</f>
        <v>0</v>
      </c>
      <c r="U30" s="19">
        <f>IF(ISNUMBER(G30),MAX(0,MIN(1,(LOG10(G30)-LD_RLog0)/LD_RSpan)),NA())</f>
        <v>0.4123337146780355</v>
      </c>
      <c r="V30" s="19">
        <f>IF(ISNUMBER(H30),MAX(0,MIN(1,(LOG10(H30)-LD_RLog0)/LD_RSpan)),NA())</f>
        <v>0.5147013716689767</v>
      </c>
      <c r="W30" s="19">
        <f>IF(ISNUMBER(I30),MAX(0,MIN(1,(LOG10(I30)-LD_RLog0)/LD_RSpan)),NA())</f>
        <v>0.5851110287100296</v>
      </c>
      <c r="Y30" s="19"/>
      <c r="Z30" s="19"/>
      <c r="AA30" s="19">
        <f>MAX(0,MIN(1,(LD_Dec0+1+LOG10(2)-LD_RLog0)/LD_RSpan))</f>
        <v>0.25</v>
      </c>
      <c r="AB30" s="19">
        <v>-1.5</v>
      </c>
    </row>
    <row r="31">
      <c r="A31" s="0">
        <v>17</v>
      </c>
      <c r="B31" s="18">
        <f>LD_Top+(A31+0.5)*LD_Step</f>
        <v>5017.5</v>
      </c>
      <c r="C31" s="0">
        <f>IF(OR(LD_N&lt;2,B31&lt;LD_First,B31&gt;LD_Last),0,MIN(MATCH(B31,LD_Depth,1),LD_N-1))</f>
        <v>36</v>
      </c>
      <c r="D31" s="19">
        <f>IF(C31=0,0,(B31-INDEX(LD_Depth,C31))/(INDEX(LD_Depth,C31+1)-INDEX(LD_Depth,C31)))</f>
        <v>0</v>
      </c>
      <c r="E31" s="0">
        <f>IF(C31=0,NA(),IF(AND(IF(ISNUMBER(INDEX(LD_SP,C31)),INDEX(LD_SP,C31)&lt;&gt;LD_Null,FALSE),OR(D31=0,IF(ISNUMBER(INDEX(LD_SP,C31+1)),INDEX(LD_SP,C31+1)&lt;&gt;LD_Null,FALSE))),IF(D31=0,INDEX(LD_SP,C31),INDEX(LD_SP,C31)+D31*(INDEX(LD_SP,C31+1)-INDEX(LD_SP,C31))),NA()))</f>
        <v>-78.4</v>
      </c>
      <c r="F31" s="0">
        <f>IF(C31=0,NA(),IF(AND(IF(ISNUMBER(INDEX(LD_GR,C31)),INDEX(LD_GR,C31)&lt;&gt;LD_Null,FALSE),OR(D31=0,IF(ISNUMBER(INDEX(LD_GR,C31+1)),INDEX(LD_GR,C31+1)&lt;&gt;LD_Null,FALSE))),IF(D31=0,INDEX(LD_GR,C31),INDEX(LD_GR,C31)+D31*(INDEX(LD_GR,C31+1)-INDEX(LD_GR,C31))),NA()))</f>
        <v>31.2</v>
      </c>
      <c r="G31" s="0">
        <f>IF(C31=0,NA(),IF(AND(IF(ISNUMBER(INDEX(LD_RS,C31)),AND(INDEX(LD_RS,C31)&lt;&gt;LD_Null,INDEX(LD_RS,C31)&gt;0),FALSE),OR(D31=0,IF(ISNUMBER(INDEX(LD_RS,C31+1)),AND(INDEX(LD_RS,C31+1)&lt;&gt;LD_Null,INDEX(LD_RS,C31+1)&gt;0),FALSE))),IF(D31=0,INDEX(LD_RS,C31),INDEX(LD_RS,C31)+D31*(INDEX(LD_RS,C31+1)-INDEX(LD_RS,C31))),NA()))</f>
        <v>8.4</v>
      </c>
      <c r="H31" s="0">
        <f>IF(C31=0,NA(),IF(AND(IF(ISNUMBER(INDEX(LD_RM,C31)),AND(INDEX(LD_RM,C31)&lt;&gt;LD_Null,INDEX(LD_RM,C31)&gt;0),FALSE),OR(D31=0,IF(ISNUMBER(INDEX(LD_RM,C31+1)),AND(INDEX(LD_RM,C31+1)&lt;&gt;LD_Null,INDEX(LD_RM,C31+1)&gt;0),FALSE))),IF(D31=0,INDEX(LD_RM,C31),INDEX(LD_RM,C31)+D31*(INDEX(LD_RM,C31+1)-INDEX(LD_RM,C31))),NA()))</f>
        <v>24.1</v>
      </c>
      <c r="I31" s="0">
        <f>IF(C31=0,NA(),IF(AND(IF(ISNUMBER(INDEX(LD_RD,C31)),AND(INDEX(LD_RD,C31)&lt;&gt;LD_Null,INDEX(LD_RD,C31)&gt;0),FALSE),OR(D31=0,IF(ISNUMBER(INDEX(LD_RD,C31+1)),AND(INDEX(LD_RD,C31+1)&lt;&gt;LD_Null,INDEX(LD_RD,C31+1)&gt;0),FALSE))),IF(D31=0,INDEX(LD_RD,C31),INDEX(LD_RD,C31)+D31*(INDEX(LD_RD,C31+1)-INDEX(LD_RD,C31))),NA()))</f>
        <v>52.6</v>
      </c>
      <c r="J31" s="19">
        <f>IF(ISNUMBER(F31),MAX(0,MIN(1,(F31-LD_GRClean)/(LD_GRShale-LD_GRClean))),NA())</f>
        <v>0.014117647058823521</v>
      </c>
      <c r="K31" s="19">
        <f>IF(ISNUMBER(E31),(MAX(LD_SPMin,MIN(E31,LD_SPBase))-LD_SPMin)/(LD_SPMax-LD_SPMin),NA())</f>
        <v>0.21599999999999994</v>
      </c>
      <c r="L31" s="19">
        <f>IF(ISNUMBER(E31),(LD_SPBase-MAX(LD_SPMin,MIN(E31,LD_SPBase)))/(LD_SPMax-LD_SPMin),NA())</f>
        <v>0.634</v>
      </c>
      <c r="M31" s="19">
        <f>IF(ISNUMBER(E31),(MIN(LD_SPMax,MAX(E31,LD_SPBase))-LD_SPBase)/(LD_SPMax-LD_SPMin),NA())</f>
        <v>0</v>
      </c>
      <c r="N31" s="19">
        <f>IF(ISNUMBER(F31),MAX(0,MIN(1,(F31-LD_GRMin)/(LD_GRMax-LD_GRMin))),NA())</f>
        <v>0.208</v>
      </c>
      <c r="O31" s="0">
        <f>IF(ISNUMBER(F31),(F31&gt;=LD_GRB1)+(F31&gt;=LD_GRB2)+(F31&gt;=LD_GRB3)+(F31&gt;=LD_GRB4),NA())</f>
        <v>0</v>
      </c>
      <c r="P31" s="19">
        <f>IF(ISNUMBER(O31),IF(O31=0,N31,0),NA())</f>
        <v>0.208</v>
      </c>
      <c r="Q31" s="19">
        <f>IF(ISNUMBER(O31),IF(O31=1,N31,0),NA())</f>
        <v>0</v>
      </c>
      <c r="R31" s="19">
        <f>IF(ISNUMBER(O31),IF(O31=2,N31,0),NA())</f>
        <v>0</v>
      </c>
      <c r="S31" s="19">
        <f>IF(ISNUMBER(O31),IF(O31=3,N31,0),NA())</f>
        <v>0</v>
      </c>
      <c r="T31" s="19">
        <f>IF(ISNUMBER(O31),IF(O31=4,N31,0),NA())</f>
        <v>0</v>
      </c>
      <c r="U31" s="19">
        <f>IF(ISNUMBER(G31),MAX(0,MIN(1,(LOG10(G31)-LD_RLog0)/LD_RSpan)),NA())</f>
        <v>0.4058123225994751</v>
      </c>
      <c r="V31" s="19">
        <f>IF(ISNUMBER(H31),MAX(0,MIN(1,(LOG10(H31)-LD_RLog0)/LD_RSpan)),NA())</f>
        <v>0.5202467617277218</v>
      </c>
      <c r="W31" s="19">
        <f>IF(ISNUMBER(I31),MAX(0,MIN(1,(LOG10(I31)-LD_RLog0)/LD_RSpan)),NA())</f>
        <v>0.6049889371224395</v>
      </c>
      <c r="Y31" s="19"/>
      <c r="Z31" s="19"/>
      <c r="AA31" s="19">
        <f>MAX(0,MIN(1,(LD_Dec0+1+LOG10(2)-LD_RLog0)/LD_RSpan))</f>
        <v>0.25</v>
      </c>
      <c r="AB31" s="19">
        <v>120.5</v>
      </c>
    </row>
    <row r="32">
      <c r="A32" s="0">
        <v>18</v>
      </c>
      <c r="B32" s="18">
        <f>LD_Top+(A32+0.5)*LD_Step</f>
        <v>5018.5</v>
      </c>
      <c r="C32" s="0">
        <f>IF(OR(LD_N&lt;2,B32&lt;LD_First,B32&gt;LD_Last),0,MIN(MATCH(B32,LD_Depth,1),LD_N-1))</f>
        <v>38</v>
      </c>
      <c r="D32" s="19">
        <f>IF(C32=0,0,(B32-INDEX(LD_Depth,C32))/(INDEX(LD_Depth,C32+1)-INDEX(LD_Depth,C32)))</f>
        <v>0</v>
      </c>
      <c r="E32" s="0">
        <f>IF(C32=0,NA(),IF(AND(IF(ISNUMBER(INDEX(LD_SP,C32)),INDEX(LD_SP,C32)&lt;&gt;LD_Null,FALSE),OR(D32=0,IF(ISNUMBER(INDEX(LD_SP,C32+1)),INDEX(LD_SP,C32+1)&lt;&gt;LD_Null,FALSE))),IF(D32=0,INDEX(LD_SP,C32),INDEX(LD_SP,C32)+D32*(INDEX(LD_SP,C32+1)-INDEX(LD_SP,C32))),NA()))</f>
        <v>-77.9</v>
      </c>
      <c r="F32" s="0">
        <f>IF(C32=0,NA(),IF(AND(IF(ISNUMBER(INDEX(LD_GR,C32)),INDEX(LD_GR,C32)&lt;&gt;LD_Null,FALSE),OR(D32=0,IF(ISNUMBER(INDEX(LD_GR,C32+1)),INDEX(LD_GR,C32+1)&lt;&gt;LD_Null,FALSE))),IF(D32=0,INDEX(LD_GR,C32),INDEX(LD_GR,C32)+D32*(INDEX(LD_GR,C32+1)-INDEX(LD_GR,C32))),NA()))</f>
        <v>29.8</v>
      </c>
      <c r="G32" s="0">
        <f>IF(C32=0,NA(),IF(AND(IF(ISNUMBER(INDEX(LD_RS,C32)),AND(INDEX(LD_RS,C32)&lt;&gt;LD_Null,INDEX(LD_RS,C32)&gt;0),FALSE),OR(D32=0,IF(ISNUMBER(INDEX(LD_RS,C32+1)),AND(INDEX(LD_RS,C32+1)&lt;&gt;LD_Null,INDEX(LD_RS,C32+1)&gt;0),FALSE))),IF(D32=0,INDEX(LD_RS,C32),INDEX(LD_RS,C32)+D32*(INDEX(LD_RS,C32+1)-INDEX(LD_RS,C32))),NA()))</f>
        <v>9.59</v>
      </c>
      <c r="H32" s="0">
        <f>IF(C32=0,NA(),IF(AND(IF(ISNUMBER(INDEX(LD_RM,C32)),AND(INDEX(LD_RM,C32)&lt;&gt;LD_Null,INDEX(LD_RM,C32)&gt;0),FALSE),OR(D32=0,IF(ISNUMBER(INDEX(LD_RM,C32+1)),AND(INDEX(LD_RM,C32+1)&lt;&gt;LD_Null,INDEX(LD_RM,C32+1)&gt;0),FALSE))),IF(D32=0,INDEX(LD_RM,C32),INDEX(LD_RM,C32)+D32*(INDEX(LD_RM,C32+1)-INDEX(LD_RM,C32))),NA()))</f>
        <v>24.8</v>
      </c>
      <c r="I32" s="0">
        <f>IF(C32=0,NA(),IF(AND(IF(ISNUMBER(INDEX(LD_RD,C32)),AND(INDEX(LD_RD,C32)&lt;&gt;LD_Null,INDEX(LD_RD,C32)&gt;0),FALSE),OR(D32=0,IF(ISNUMBER(INDEX(LD_RD,C32+1)),AND(INDEX(LD_RD,C32+1)&lt;&gt;LD_Null,INDEX(LD_RD,C32+1)&gt;0),FALSE))),IF(D32=0,INDEX(LD_RD,C32),INDEX(LD_RD,C32)+D32*(INDEX(LD_RD,C32+1)-INDEX(LD_RD,C32))),NA()))</f>
        <v>48.2</v>
      </c>
      <c r="J32" s="19">
        <f>IF(ISNUMBER(F32),MAX(0,MIN(1,(F32-LD_GRClean)/(LD_GRShale-LD_GRClean))),NA())</f>
        <v>0</v>
      </c>
      <c r="K32" s="19">
        <f>IF(ISNUMBER(E32),(MAX(LD_SPMin,MIN(E32,LD_SPBase))-LD_SPMin)/(LD_SPMax-LD_SPMin),NA())</f>
        <v>0.22099999999999995</v>
      </c>
      <c r="L32" s="19">
        <f>IF(ISNUMBER(E32),(LD_SPBase-MAX(LD_SPMin,MIN(E32,LD_SPBase)))/(LD_SPMax-LD_SPMin),NA())</f>
        <v>0.629</v>
      </c>
      <c r="M32" s="19">
        <f>IF(ISNUMBER(E32),(MIN(LD_SPMax,MAX(E32,LD_SPBase))-LD_SPBase)/(LD_SPMax-LD_SPMin),NA())</f>
        <v>0</v>
      </c>
      <c r="N32" s="19">
        <f>IF(ISNUMBER(F32),MAX(0,MIN(1,(F32-LD_GRMin)/(LD_GRMax-LD_GRMin))),NA())</f>
        <v>0.19866666666666666</v>
      </c>
      <c r="O32" s="0">
        <f>IF(ISNUMBER(F32),(F32&gt;=LD_GRB1)+(F32&gt;=LD_GRB2)+(F32&gt;=LD_GRB3)+(F32&gt;=LD_GRB4),NA())</f>
        <v>0</v>
      </c>
      <c r="P32" s="19">
        <f>IF(ISNUMBER(O32),IF(O32=0,N32,0),NA())</f>
        <v>0.19866666666666666</v>
      </c>
      <c r="Q32" s="19">
        <f>IF(ISNUMBER(O32),IF(O32=1,N32,0),NA())</f>
        <v>0</v>
      </c>
      <c r="R32" s="19">
        <f>IF(ISNUMBER(O32),IF(O32=2,N32,0),NA())</f>
        <v>0</v>
      </c>
      <c r="S32" s="19">
        <f>IF(ISNUMBER(O32),IF(O32=3,N32,0),NA())</f>
        <v>0</v>
      </c>
      <c r="T32" s="19">
        <f>IF(ISNUMBER(O32),IF(O32=4,N32,0),NA())</f>
        <v>0</v>
      </c>
      <c r="U32" s="19">
        <f>IF(ISNUMBER(G32),MAX(0,MIN(1,(LOG10(G32)-LD_RLog0)/LD_RSpan)),NA())</f>
        <v>0.4201971528766706</v>
      </c>
      <c r="V32" s="19">
        <f>IF(ISNUMBER(H32),MAX(0,MIN(1,(LOG10(H32)-LD_RLog0)/LD_RSpan)),NA())</f>
        <v>0.5233554212905588</v>
      </c>
      <c r="W32" s="19">
        <f>IF(ISNUMBER(I32),MAX(0,MIN(1,(LOG10(I32)-LD_RLog0)/LD_RSpan)),NA())</f>
        <v>0.5955042606437171</v>
      </c>
      <c r="Y32" s="19"/>
      <c r="Z32" s="19"/>
      <c r="AA32" s="19">
        <f>MAX(0,MIN(1,(LD_Dec0+1+LOG10(3)-LD_RLog0)/LD_RSpan))</f>
        <v>0.2940228147639203</v>
      </c>
      <c r="AB32" s="19">
        <v>120.5</v>
      </c>
    </row>
    <row r="33">
      <c r="A33" s="0">
        <v>19</v>
      </c>
      <c r="B33" s="18">
        <f>LD_Top+(A33+0.5)*LD_Step</f>
        <v>5019.5</v>
      </c>
      <c r="C33" s="0">
        <f>IF(OR(LD_N&lt;2,B33&lt;LD_First,B33&gt;LD_Last),0,MIN(MATCH(B33,LD_Depth,1),LD_N-1))</f>
        <v>40</v>
      </c>
      <c r="D33" s="19">
        <f>IF(C33=0,0,(B33-INDEX(LD_Depth,C33))/(INDEX(LD_Depth,C33+1)-INDEX(LD_Depth,C33)))</f>
        <v>0</v>
      </c>
      <c r="E33" s="0">
        <f>IF(C33=0,NA(),IF(AND(IF(ISNUMBER(INDEX(LD_SP,C33)),INDEX(LD_SP,C33)&lt;&gt;LD_Null,FALSE),OR(D33=0,IF(ISNUMBER(INDEX(LD_SP,C33+1)),INDEX(LD_SP,C33+1)&lt;&gt;LD_Null,FALSE))),IF(D33=0,INDEX(LD_SP,C33),INDEX(LD_SP,C33)+D33*(INDEX(LD_SP,C33+1)-INDEX(LD_SP,C33))),NA()))</f>
        <v>-77.5</v>
      </c>
      <c r="F33" s="0">
        <f>IF(C33=0,NA(),IF(AND(IF(ISNUMBER(INDEX(LD_GR,C33)),INDEX(LD_GR,C33)&lt;&gt;LD_Null,FALSE),OR(D33=0,IF(ISNUMBER(INDEX(LD_GR,C33+1)),INDEX(LD_GR,C33+1)&lt;&gt;LD_Null,FALSE))),IF(D33=0,INDEX(LD_GR,C33),INDEX(LD_GR,C33)+D33*(INDEX(LD_GR,C33+1)-INDEX(LD_GR,C33))),NA()))</f>
        <v>33.3</v>
      </c>
      <c r="G33" s="0">
        <f>IF(C33=0,NA(),IF(AND(IF(ISNUMBER(INDEX(LD_RS,C33)),AND(INDEX(LD_RS,C33)&lt;&gt;LD_Null,INDEX(LD_RS,C33)&gt;0),FALSE),OR(D33=0,IF(ISNUMBER(INDEX(LD_RS,C33+1)),AND(INDEX(LD_RS,C33+1)&lt;&gt;LD_Null,INDEX(LD_RS,C33+1)&gt;0),FALSE))),IF(D33=0,INDEX(LD_RS,C33),INDEX(LD_RS,C33)+D33*(INDEX(LD_RS,C33+1)-INDEX(LD_RS,C33))),NA()))</f>
        <v>9.22</v>
      </c>
      <c r="H33" s="0">
        <f>IF(C33=0,NA(),IF(AND(IF(ISNUMBER(INDEX(LD_RM,C33)),AND(INDEX(LD_RM,C33)&lt;&gt;LD_Null,INDEX(LD_RM,C33)&gt;0),FALSE),OR(D33=0,IF(ISNUMBER(INDEX(LD_RM,C33+1)),AND(INDEX(LD_RM,C33+1)&lt;&gt;LD_Null,INDEX(LD_RM,C33+1)&gt;0),FALSE))),IF(D33=0,INDEX(LD_RM,C33),INDEX(LD_RM,C33)+D33*(INDEX(LD_RM,C33+1)-INDEX(LD_RM,C33))),NA()))</f>
        <v>24.1</v>
      </c>
      <c r="I33" s="0">
        <f>IF(C33=0,NA(),IF(AND(IF(ISNUMBER(INDEX(LD_RD,C33)),AND(INDEX(LD_RD,C33)&lt;&gt;LD_Null,INDEX(LD_RD,C33)&gt;0),FALSE),OR(D33=0,IF(ISNUMBER(INDEX(LD_RD,C33+1)),AND(INDEX(LD_RD,C33+1)&lt;&gt;LD_Null,INDEX(LD_RD,C33+1)&gt;0),FALSE))),IF(D33=0,INDEX(LD_RD,C33),INDEX(LD_RD,C33)+D33*(INDEX(LD_RD,C33+1)-INDEX(LD_RD,C33))),NA()))</f>
        <v>45.2</v>
      </c>
      <c r="J33" s="19">
        <f>IF(ISNUMBER(F33),MAX(0,MIN(1,(F33-LD_GRClean)/(LD_GRShale-LD_GRClean))),NA())</f>
        <v>0.03882352941176467</v>
      </c>
      <c r="K33" s="19">
        <f>IF(ISNUMBER(E33),(MAX(LD_SPMin,MIN(E33,LD_SPBase))-LD_SPMin)/(LD_SPMax-LD_SPMin),NA())</f>
        <v>0.225</v>
      </c>
      <c r="L33" s="19">
        <f>IF(ISNUMBER(E33),(LD_SPBase-MAX(LD_SPMin,MIN(E33,LD_SPBase)))/(LD_SPMax-LD_SPMin),NA())</f>
        <v>0.625</v>
      </c>
      <c r="M33" s="19">
        <f>IF(ISNUMBER(E33),(MIN(LD_SPMax,MAX(E33,LD_SPBase))-LD_SPBase)/(LD_SPMax-LD_SPMin),NA())</f>
        <v>0</v>
      </c>
      <c r="N33" s="19">
        <f>IF(ISNUMBER(F33),MAX(0,MIN(1,(F33-LD_GRMin)/(LD_GRMax-LD_GRMin))),NA())</f>
        <v>0.22199999999999998</v>
      </c>
      <c r="O33" s="0">
        <f>IF(ISNUMBER(F33),(F33&gt;=LD_GRB1)+(F33&gt;=LD_GRB2)+(F33&gt;=LD_GRB3)+(F33&gt;=LD_GRB4),NA())</f>
        <v>0</v>
      </c>
      <c r="P33" s="19">
        <f>IF(ISNUMBER(O33),IF(O33=0,N33,0),NA())</f>
        <v>0.22199999999999998</v>
      </c>
      <c r="Q33" s="19">
        <f>IF(ISNUMBER(O33),IF(O33=1,N33,0),NA())</f>
        <v>0</v>
      </c>
      <c r="R33" s="19">
        <f>IF(ISNUMBER(O33),IF(O33=2,N33,0),NA())</f>
        <v>0</v>
      </c>
      <c r="S33" s="19">
        <f>IF(ISNUMBER(O33),IF(O33=3,N33,0),NA())</f>
        <v>0</v>
      </c>
      <c r="T33" s="19">
        <f>IF(ISNUMBER(O33),IF(O33=4,N33,0),NA())</f>
        <v>0</v>
      </c>
      <c r="U33" s="19">
        <f>IF(ISNUMBER(G33),MAX(0,MIN(1,(LOG10(G33)-LD_RLog0)/LD_RSpan)),NA())</f>
        <v>0.415925231347412</v>
      </c>
      <c r="V33" s="19">
        <f>IF(ISNUMBER(H33),MAX(0,MIN(1,(LOG10(H33)-LD_RLog0)/LD_RSpan)),NA())</f>
        <v>0.5202467617277218</v>
      </c>
      <c r="W33" s="19">
        <f>IF(ISNUMBER(I33),MAX(0,MIN(1,(LOG10(I33)-LD_RLog0)/LD_RSpan)),NA())</f>
        <v>0.5885271097868502</v>
      </c>
      <c r="Y33" s="19"/>
      <c r="Z33" s="19"/>
      <c r="AA33" s="19">
        <f>MAX(0,MIN(1,(LD_Dec0+1+LOG10(3)-LD_RLog0)/LD_RSpan))</f>
        <v>0.2940228147639203</v>
      </c>
      <c r="AB33" s="19">
        <v>-1.5</v>
      </c>
    </row>
    <row r="34">
      <c r="A34" s="0">
        <v>20</v>
      </c>
      <c r="B34" s="18">
        <f>LD_Top+(A34+0.5)*LD_Step</f>
        <v>5020.5</v>
      </c>
      <c r="C34" s="0">
        <f>IF(OR(LD_N&lt;2,B34&lt;LD_First,B34&gt;LD_Last),0,MIN(MATCH(B34,LD_Depth,1),LD_N-1))</f>
        <v>42</v>
      </c>
      <c r="D34" s="19">
        <f>IF(C34=0,0,(B34-INDEX(LD_Depth,C34))/(INDEX(LD_Depth,C34+1)-INDEX(LD_Depth,C34)))</f>
        <v>0</v>
      </c>
      <c r="E34" s="0">
        <f>IF(C34=0,NA(),IF(AND(IF(ISNUMBER(INDEX(LD_SP,C34)),INDEX(LD_SP,C34)&lt;&gt;LD_Null,FALSE),OR(D34=0,IF(ISNUMBER(INDEX(LD_SP,C34+1)),INDEX(LD_SP,C34+1)&lt;&gt;LD_Null,FALSE))),IF(D34=0,INDEX(LD_SP,C34),INDEX(LD_SP,C34)+D34*(INDEX(LD_SP,C34+1)-INDEX(LD_SP,C34))),NA()))</f>
        <v>-78</v>
      </c>
      <c r="F34" s="0">
        <f>IF(C34=0,NA(),IF(AND(IF(ISNUMBER(INDEX(LD_GR,C34)),INDEX(LD_GR,C34)&lt;&gt;LD_Null,FALSE),OR(D34=0,IF(ISNUMBER(INDEX(LD_GR,C34+1)),INDEX(LD_GR,C34+1)&lt;&gt;LD_Null,FALSE))),IF(D34=0,INDEX(LD_GR,C34),INDEX(LD_GR,C34)+D34*(INDEX(LD_GR,C34+1)-INDEX(LD_GR,C34))),NA()))</f>
        <v>35</v>
      </c>
      <c r="G34" s="0">
        <f>IF(C34=0,NA(),IF(AND(IF(ISNUMBER(INDEX(LD_RS,C34)),AND(INDEX(LD_RS,C34)&lt;&gt;LD_Null,INDEX(LD_RS,C34)&gt;0),FALSE),OR(D34=0,IF(ISNUMBER(INDEX(LD_RS,C34+1)),AND(INDEX(LD_RS,C34+1)&lt;&gt;LD_Null,INDEX(LD_RS,C34+1)&gt;0),FALSE))),IF(D34=0,INDEX(LD_RS,C34),INDEX(LD_RS,C34)+D34*(INDEX(LD_RS,C34+1)-INDEX(LD_RS,C34))),NA()))</f>
        <v>8.4</v>
      </c>
      <c r="H34" s="0">
        <f>IF(C34=0,NA(),IF(AND(IF(ISNUMBER(INDEX(LD_RM,C34)),AND(INDEX(LD_RM,C34)&lt;&gt;LD_Null,INDEX(LD_RM,C34)&gt;0),FALSE),OR(D34=0,IF(ISNUMBER(INDEX(LD_RM,C34+1)),AND(INDEX(LD_RM,C34+1)&lt;&gt;LD_Null,INDEX(LD_RM,C34+1)&gt;0),FALSE))),IF(D34=0,INDEX(LD_RM,C34),INDEX(LD_RM,C34)+D34*(INDEX(LD_RM,C34+1)-INDEX(LD_RM,C34))),NA()))</f>
        <v>22.7</v>
      </c>
      <c r="I34" s="0">
        <f>IF(C34=0,NA(),IF(AND(IF(ISNUMBER(INDEX(LD_RD,C34)),AND(INDEX(LD_RD,C34)&lt;&gt;LD_Null,INDEX(LD_RD,C34)&gt;0),FALSE),OR(D34=0,IF(ISNUMBER(INDEX(LD_RD,C34+1)),AND(INDEX(LD_RD,C34+1)&lt;&gt;LD_Null,INDEX(LD_RD,C34+1)&gt;0),FALSE))),IF(D34=0,INDEX(LD_RD,C34),INDEX(LD_RD,C34)+D34*(INDEX(LD_RD,C34+1)-INDEX(LD_RD,C34))),NA()))</f>
        <v>48</v>
      </c>
      <c r="J34" s="19">
        <f>IF(ISNUMBER(F34),MAX(0,MIN(1,(F34-LD_GRClean)/(LD_GRShale-LD_GRClean))),NA())</f>
        <v>0.058823529411764705</v>
      </c>
      <c r="K34" s="19">
        <f>IF(ISNUMBER(E34),(MAX(LD_SPMin,MIN(E34,LD_SPBase))-LD_SPMin)/(LD_SPMax-LD_SPMin),NA())</f>
        <v>0.22</v>
      </c>
      <c r="L34" s="19">
        <f>IF(ISNUMBER(E34),(LD_SPBase-MAX(LD_SPMin,MIN(E34,LD_SPBase)))/(LD_SPMax-LD_SPMin),NA())</f>
        <v>0.63</v>
      </c>
      <c r="M34" s="19">
        <f>IF(ISNUMBER(E34),(MIN(LD_SPMax,MAX(E34,LD_SPBase))-LD_SPBase)/(LD_SPMax-LD_SPMin),NA())</f>
        <v>0</v>
      </c>
      <c r="N34" s="19">
        <f>IF(ISNUMBER(F34),MAX(0,MIN(1,(F34-LD_GRMin)/(LD_GRMax-LD_GRMin))),NA())</f>
        <v>0.23333333333333334</v>
      </c>
      <c r="O34" s="0">
        <f>IF(ISNUMBER(F34),(F34&gt;=LD_GRB1)+(F34&gt;=LD_GRB2)+(F34&gt;=LD_GRB3)+(F34&gt;=LD_GRB4),NA())</f>
        <v>0</v>
      </c>
      <c r="P34" s="19">
        <f>IF(ISNUMBER(O34),IF(O34=0,N34,0),NA())</f>
        <v>0.23333333333333334</v>
      </c>
      <c r="Q34" s="19">
        <f>IF(ISNUMBER(O34),IF(O34=1,N34,0),NA())</f>
        <v>0</v>
      </c>
      <c r="R34" s="19">
        <f>IF(ISNUMBER(O34),IF(O34=2,N34,0),NA())</f>
        <v>0</v>
      </c>
      <c r="S34" s="19">
        <f>IF(ISNUMBER(O34),IF(O34=3,N34,0),NA())</f>
        <v>0</v>
      </c>
      <c r="T34" s="19">
        <f>IF(ISNUMBER(O34),IF(O34=4,N34,0),NA())</f>
        <v>0</v>
      </c>
      <c r="U34" s="19">
        <f>IF(ISNUMBER(G34),MAX(0,MIN(1,(LOG10(G34)-LD_RLog0)/LD_RSpan)),NA())</f>
        <v>0.4058123225994751</v>
      </c>
      <c r="V34" s="19">
        <f>IF(ISNUMBER(H34),MAX(0,MIN(1,(LOG10(H34)-LD_RLog0)/LD_RSpan)),NA())</f>
        <v>0.5137489653822853</v>
      </c>
      <c r="W34" s="19">
        <f>IF(ISNUMBER(I34),MAX(0,MIN(1,(LOG10(I34)-LD_RLog0)/LD_RSpan)),NA())</f>
        <v>0.5950528104279015</v>
      </c>
      <c r="Y34" s="19"/>
      <c r="Z34" s="19"/>
      <c r="AA34" s="19">
        <f>MAX(0,MIN(1,(LD_Dec0+1+LOG10(4)-LD_RLog0)/LD_RSpan))</f>
        <v>0.3252574989159953</v>
      </c>
      <c r="AB34" s="19">
        <v>-1.5</v>
      </c>
    </row>
    <row r="35">
      <c r="A35" s="0">
        <v>21</v>
      </c>
      <c r="B35" s="18">
        <f>LD_Top+(A35+0.5)*LD_Step</f>
        <v>5021.5</v>
      </c>
      <c r="C35" s="0">
        <f>IF(OR(LD_N&lt;2,B35&lt;LD_First,B35&gt;LD_Last),0,MIN(MATCH(B35,LD_Depth,1),LD_N-1))</f>
        <v>44</v>
      </c>
      <c r="D35" s="19">
        <f>IF(C35=0,0,(B35-INDEX(LD_Depth,C35))/(INDEX(LD_Depth,C35+1)-INDEX(LD_Depth,C35)))</f>
        <v>0</v>
      </c>
      <c r="E35" s="0">
        <f>IF(C35=0,NA(),IF(AND(IF(ISNUMBER(INDEX(LD_SP,C35)),INDEX(LD_SP,C35)&lt;&gt;LD_Null,FALSE),OR(D35=0,IF(ISNUMBER(INDEX(LD_SP,C35+1)),INDEX(LD_SP,C35+1)&lt;&gt;LD_Null,FALSE))),IF(D35=0,INDEX(LD_SP,C35),INDEX(LD_SP,C35)+D35*(INDEX(LD_SP,C35+1)-INDEX(LD_SP,C35))),NA()))</f>
        <v>-78.5</v>
      </c>
      <c r="F35" s="0">
        <f>IF(C35=0,NA(),IF(AND(IF(ISNUMBER(INDEX(LD_GR,C35)),INDEX(LD_GR,C35)&lt;&gt;LD_Null,FALSE),OR(D35=0,IF(ISNUMBER(INDEX(LD_GR,C35+1)),INDEX(LD_GR,C35+1)&lt;&gt;LD_Null,FALSE))),IF(D35=0,INDEX(LD_GR,C35),INDEX(LD_GR,C35)+D35*(INDEX(LD_GR,C35+1)-INDEX(LD_GR,C35))),NA()))</f>
        <v>27.9</v>
      </c>
      <c r="G35" s="0">
        <f>IF(C35=0,NA(),IF(AND(IF(ISNUMBER(INDEX(LD_RS,C35)),AND(INDEX(LD_RS,C35)&lt;&gt;LD_Null,INDEX(LD_RS,C35)&gt;0),FALSE),OR(D35=0,IF(ISNUMBER(INDEX(LD_RS,C35+1)),AND(INDEX(LD_RS,C35+1)&lt;&gt;LD_Null,INDEX(LD_RS,C35+1)&gt;0),FALSE))),IF(D35=0,INDEX(LD_RS,C35),INDEX(LD_RS,C35)+D35*(INDEX(LD_RS,C35+1)-INDEX(LD_RS,C35))),NA()))</f>
        <v>9.03</v>
      </c>
      <c r="H35" s="0">
        <f>IF(C35=0,NA(),IF(AND(IF(ISNUMBER(INDEX(LD_RM,C35)),AND(INDEX(LD_RM,C35)&lt;&gt;LD_Null,INDEX(LD_RM,C35)&gt;0),FALSE),OR(D35=0,IF(ISNUMBER(INDEX(LD_RM,C35+1)),AND(INDEX(LD_RM,C35+1)&lt;&gt;LD_Null,INDEX(LD_RM,C35+1)&gt;0),FALSE))),IF(D35=0,INDEX(LD_RM,C35),INDEX(LD_RM,C35)+D35*(INDEX(LD_RM,C35+1)-INDEX(LD_RM,C35))),NA()))</f>
        <v>24</v>
      </c>
      <c r="I35" s="0">
        <f>IF(C35=0,NA(),IF(AND(IF(ISNUMBER(INDEX(LD_RD,C35)),AND(INDEX(LD_RD,C35)&lt;&gt;LD_Null,INDEX(LD_RD,C35)&gt;0),FALSE),OR(D35=0,IF(ISNUMBER(INDEX(LD_RD,C35+1)),AND(INDEX(LD_RD,C35+1)&lt;&gt;LD_Null,INDEX(LD_RD,C35+1)&gt;0),FALSE))),IF(D35=0,INDEX(LD_RD,C35),INDEX(LD_RD,C35)+D35*(INDEX(LD_RD,C35+1)-INDEX(LD_RD,C35))),NA()))</f>
        <v>50.8</v>
      </c>
      <c r="J35" s="19">
        <f>IF(ISNUMBER(F35),MAX(0,MIN(1,(F35-LD_GRClean)/(LD_GRShale-LD_GRClean))),NA())</f>
        <v>0</v>
      </c>
      <c r="K35" s="19">
        <f>IF(ISNUMBER(E35),(MAX(LD_SPMin,MIN(E35,LD_SPBase))-LD_SPMin)/(LD_SPMax-LD_SPMin),NA())</f>
        <v>0.215</v>
      </c>
      <c r="L35" s="19">
        <f>IF(ISNUMBER(E35),(LD_SPBase-MAX(LD_SPMin,MIN(E35,LD_SPBase)))/(LD_SPMax-LD_SPMin),NA())</f>
        <v>0.635</v>
      </c>
      <c r="M35" s="19">
        <f>IF(ISNUMBER(E35),(MIN(LD_SPMax,MAX(E35,LD_SPBase))-LD_SPBase)/(LD_SPMax-LD_SPMin),NA())</f>
        <v>0</v>
      </c>
      <c r="N35" s="19">
        <f>IF(ISNUMBER(F35),MAX(0,MIN(1,(F35-LD_GRMin)/(LD_GRMax-LD_GRMin))),NA())</f>
        <v>0.186</v>
      </c>
      <c r="O35" s="0">
        <f>IF(ISNUMBER(F35),(F35&gt;=LD_GRB1)+(F35&gt;=LD_GRB2)+(F35&gt;=LD_GRB3)+(F35&gt;=LD_GRB4),NA())</f>
        <v>0</v>
      </c>
      <c r="P35" s="19">
        <f>IF(ISNUMBER(O35),IF(O35=0,N35,0),NA())</f>
        <v>0.186</v>
      </c>
      <c r="Q35" s="19">
        <f>IF(ISNUMBER(O35),IF(O35=1,N35,0),NA())</f>
        <v>0</v>
      </c>
      <c r="R35" s="19">
        <f>IF(ISNUMBER(O35),IF(O35=2,N35,0),NA())</f>
        <v>0</v>
      </c>
      <c r="S35" s="19">
        <f>IF(ISNUMBER(O35),IF(O35=3,N35,0),NA())</f>
        <v>0</v>
      </c>
      <c r="T35" s="19">
        <f>IF(ISNUMBER(O35),IF(O35=4,N35,0),NA())</f>
        <v>0</v>
      </c>
      <c r="U35" s="19">
        <f>IF(ISNUMBER(G35),MAX(0,MIN(1,(LOG10(G35)-LD_RLog0)/LD_RSpan)),NA())</f>
        <v>0.4136644386623811</v>
      </c>
      <c r="V35" s="19">
        <f>IF(ISNUMBER(H35),MAX(0,MIN(1,(LOG10(H35)-LD_RLog0)/LD_RSpan)),NA())</f>
        <v>0.5197953115119062</v>
      </c>
      <c r="W35" s="19">
        <f>IF(ISNUMBER(I35),MAX(0,MIN(1,(LOG10(I35)-LD_RLog0)/LD_RSpan)),NA())</f>
        <v>0.6012084291549845</v>
      </c>
      <c r="Y35" s="19"/>
      <c r="Z35" s="19"/>
      <c r="AA35" s="19">
        <f>MAX(0,MIN(1,(LD_Dec0+1+LOG10(4)-LD_RLog0)/LD_RSpan))</f>
        <v>0.3252574989159953</v>
      </c>
      <c r="AB35" s="19">
        <v>120.5</v>
      </c>
    </row>
    <row r="36">
      <c r="A36" s="0">
        <v>22</v>
      </c>
      <c r="B36" s="18">
        <f>LD_Top+(A36+0.5)*LD_Step</f>
        <v>5022.5</v>
      </c>
      <c r="C36" s="0">
        <f>IF(OR(LD_N&lt;2,B36&lt;LD_First,B36&gt;LD_Last),0,MIN(MATCH(B36,LD_Depth,1),LD_N-1))</f>
        <v>46</v>
      </c>
      <c r="D36" s="19">
        <f>IF(C36=0,0,(B36-INDEX(LD_Depth,C36))/(INDEX(LD_Depth,C36+1)-INDEX(LD_Depth,C36)))</f>
        <v>0</v>
      </c>
      <c r="E36" s="0">
        <f>IF(C36=0,NA(),IF(AND(IF(ISNUMBER(INDEX(LD_SP,C36)),INDEX(LD_SP,C36)&lt;&gt;LD_Null,FALSE),OR(D36=0,IF(ISNUMBER(INDEX(LD_SP,C36+1)),INDEX(LD_SP,C36+1)&lt;&gt;LD_Null,FALSE))),IF(D36=0,INDEX(LD_SP,C36),INDEX(LD_SP,C36)+D36*(INDEX(LD_SP,C36+1)-INDEX(LD_SP,C36))),NA()))</f>
        <v>-78.1</v>
      </c>
      <c r="F36" s="0">
        <f>IF(C36=0,NA(),IF(AND(IF(ISNUMBER(INDEX(LD_GR,C36)),INDEX(LD_GR,C36)&lt;&gt;LD_Null,FALSE),OR(D36=0,IF(ISNUMBER(INDEX(LD_GR,C36+1)),INDEX(LD_GR,C36+1)&lt;&gt;LD_Null,FALSE))),IF(D36=0,INDEX(LD_GR,C36),INDEX(LD_GR,C36)+D36*(INDEX(LD_GR,C36+1)-INDEX(LD_GR,C36))),NA()))</f>
        <v>32.2</v>
      </c>
      <c r="G36" s="0">
        <f>IF(C36=0,NA(),IF(AND(IF(ISNUMBER(INDEX(LD_RS,C36)),AND(INDEX(LD_RS,C36)&lt;&gt;LD_Null,INDEX(LD_RS,C36)&gt;0),FALSE),OR(D36=0,IF(ISNUMBER(INDEX(LD_RS,C36+1)),AND(INDEX(LD_RS,C36+1)&lt;&gt;LD_Null,INDEX(LD_RS,C36+1)&gt;0),FALSE))),IF(D36=0,INDEX(LD_RS,C36),INDEX(LD_RS,C36)+D36*(INDEX(LD_RS,C36+1)-INDEX(LD_RS,C36))),NA()))</f>
        <v>9.61</v>
      </c>
      <c r="H36" s="0">
        <f>IF(C36=0,NA(),IF(AND(IF(ISNUMBER(INDEX(LD_RM,C36)),AND(INDEX(LD_RM,C36)&lt;&gt;LD_Null,INDEX(LD_RM,C36)&gt;0),FALSE),OR(D36=0,IF(ISNUMBER(INDEX(LD_RM,C36+1)),AND(INDEX(LD_RM,C36+1)&lt;&gt;LD_Null,INDEX(LD_RM,C36+1)&gt;0),FALSE))),IF(D36=0,INDEX(LD_RM,C36),INDEX(LD_RM,C36)+D36*(INDEX(LD_RM,C36+1)-INDEX(LD_RM,C36))),NA()))</f>
        <v>26.3</v>
      </c>
      <c r="I36" s="0">
        <f>IF(C36=0,NA(),IF(AND(IF(ISNUMBER(INDEX(LD_RD,C36)),AND(INDEX(LD_RD,C36)&lt;&gt;LD_Null,INDEX(LD_RD,C36)&gt;0),FALSE),OR(D36=0,IF(ISNUMBER(INDEX(LD_RD,C36+1)),AND(INDEX(LD_RD,C36+1)&lt;&gt;LD_Null,INDEX(LD_RD,C36+1)&gt;0),FALSE))),IF(D36=0,INDEX(LD_RD,C36),INDEX(LD_RD,C36)+D36*(INDEX(LD_RD,C36+1)-INDEX(LD_RD,C36))),NA()))</f>
        <v>46.9</v>
      </c>
      <c r="J36" s="19">
        <f>IF(ISNUMBER(F36),MAX(0,MIN(1,(F36-LD_GRClean)/(LD_GRShale-LD_GRClean))),NA())</f>
        <v>0.025882352941176506</v>
      </c>
      <c r="K36" s="19">
        <f>IF(ISNUMBER(E36),(MAX(LD_SPMin,MIN(E36,LD_SPBase))-LD_SPMin)/(LD_SPMax-LD_SPMin),NA())</f>
        <v>0.21900000000000006</v>
      </c>
      <c r="L36" s="19">
        <f>IF(ISNUMBER(E36),(LD_SPBase-MAX(LD_SPMin,MIN(E36,LD_SPBase)))/(LD_SPMax-LD_SPMin),NA())</f>
        <v>0.6309999999999999</v>
      </c>
      <c r="M36" s="19">
        <f>IF(ISNUMBER(E36),(MIN(LD_SPMax,MAX(E36,LD_SPBase))-LD_SPBase)/(LD_SPMax-LD_SPMin),NA())</f>
        <v>0</v>
      </c>
      <c r="N36" s="19">
        <f>IF(ISNUMBER(F36),MAX(0,MIN(1,(F36-LD_GRMin)/(LD_GRMax-LD_GRMin))),NA())</f>
        <v>0.21466666666666667</v>
      </c>
      <c r="O36" s="0">
        <f>IF(ISNUMBER(F36),(F36&gt;=LD_GRB1)+(F36&gt;=LD_GRB2)+(F36&gt;=LD_GRB3)+(F36&gt;=LD_GRB4),NA())</f>
        <v>0</v>
      </c>
      <c r="P36" s="19">
        <f>IF(ISNUMBER(O36),IF(O36=0,N36,0),NA())</f>
        <v>0.21466666666666667</v>
      </c>
      <c r="Q36" s="19">
        <f>IF(ISNUMBER(O36),IF(O36=1,N36,0),NA())</f>
        <v>0</v>
      </c>
      <c r="R36" s="19">
        <f>IF(ISNUMBER(O36),IF(O36=2,N36,0),NA())</f>
        <v>0</v>
      </c>
      <c r="S36" s="19">
        <f>IF(ISNUMBER(O36),IF(O36=3,N36,0),NA())</f>
        <v>0</v>
      </c>
      <c r="T36" s="19">
        <f>IF(ISNUMBER(O36),IF(O36=4,N36,0),NA())</f>
        <v>0</v>
      </c>
      <c r="U36" s="19">
        <f>IF(ISNUMBER(G36),MAX(0,MIN(1,(LOG10(G36)-LD_RLog0)/LD_RSpan)),NA())</f>
        <v>0.420423348001141</v>
      </c>
      <c r="V36" s="19">
        <f>IF(ISNUMBER(H36),MAX(0,MIN(1,(LOG10(H36)-LD_RLog0)/LD_RSpan)),NA())</f>
        <v>0.5297314382064442</v>
      </c>
      <c r="W36" s="19">
        <f>IF(ISNUMBER(I36),MAX(0,MIN(1,(LOG10(I36)-LD_RLog0)/LD_RSpan)),NA())</f>
        <v>0.5925357117627754</v>
      </c>
      <c r="Y36" s="19"/>
      <c r="Z36" s="19"/>
      <c r="AA36" s="19">
        <f>MAX(0,MIN(1,(LD_Dec0+1+LOG10(5)-LD_RLog0)/LD_RSpan))</f>
        <v>0.3494850021680094</v>
      </c>
      <c r="AB36" s="19">
        <v>120.5</v>
      </c>
    </row>
    <row r="37">
      <c r="A37" s="0">
        <v>23</v>
      </c>
      <c r="B37" s="18">
        <f>LD_Top+(A37+0.5)*LD_Step</f>
        <v>5023.5</v>
      </c>
      <c r="C37" s="0">
        <f>IF(OR(LD_N&lt;2,B37&lt;LD_First,B37&gt;LD_Last),0,MIN(MATCH(B37,LD_Depth,1),LD_N-1))</f>
        <v>48</v>
      </c>
      <c r="D37" s="19">
        <f>IF(C37=0,0,(B37-INDEX(LD_Depth,C37))/(INDEX(LD_Depth,C37+1)-INDEX(LD_Depth,C37)))</f>
        <v>0</v>
      </c>
      <c r="E37" s="0">
        <f>IF(C37=0,NA(),IF(AND(IF(ISNUMBER(INDEX(LD_SP,C37)),INDEX(LD_SP,C37)&lt;&gt;LD_Null,FALSE),OR(D37=0,IF(ISNUMBER(INDEX(LD_SP,C37+1)),INDEX(LD_SP,C37+1)&lt;&gt;LD_Null,FALSE))),IF(D37=0,INDEX(LD_SP,C37),INDEX(LD_SP,C37)+D37*(INDEX(LD_SP,C37+1)-INDEX(LD_SP,C37))),NA()))</f>
        <v>-77</v>
      </c>
      <c r="F37" s="0">
        <f>IF(C37=0,NA(),IF(AND(IF(ISNUMBER(INDEX(LD_GR,C37)),INDEX(LD_GR,C37)&lt;&gt;LD_Null,FALSE),OR(D37=0,IF(ISNUMBER(INDEX(LD_GR,C37+1)),INDEX(LD_GR,C37+1)&lt;&gt;LD_Null,FALSE))),IF(D37=0,INDEX(LD_GR,C37),INDEX(LD_GR,C37)+D37*(INDEX(LD_GR,C37+1)-INDEX(LD_GR,C37))),NA()))</f>
        <v>34.8</v>
      </c>
      <c r="G37" s="0">
        <f>IF(C37=0,NA(),IF(AND(IF(ISNUMBER(INDEX(LD_RS,C37)),AND(INDEX(LD_RS,C37)&lt;&gt;LD_Null,INDEX(LD_RS,C37)&gt;0),FALSE),OR(D37=0,IF(ISNUMBER(INDEX(LD_RS,C37+1)),AND(INDEX(LD_RS,C37+1)&lt;&gt;LD_Null,INDEX(LD_RS,C37+1)&gt;0),FALSE))),IF(D37=0,INDEX(LD_RS,C37),INDEX(LD_RS,C37)+D37*(INDEX(LD_RS,C37+1)-INDEX(LD_RS,C37))),NA()))</f>
        <v>8.66</v>
      </c>
      <c r="H37" s="0">
        <f>IF(C37=0,NA(),IF(AND(IF(ISNUMBER(INDEX(LD_RM,C37)),AND(INDEX(LD_RM,C37)&lt;&gt;LD_Null,INDEX(LD_RM,C37)&gt;0),FALSE),OR(D37=0,IF(ISNUMBER(INDEX(LD_RM,C37+1)),AND(INDEX(LD_RM,C37+1)&lt;&gt;LD_Null,INDEX(LD_RM,C37+1)&gt;0),FALSE))),IF(D37=0,INDEX(LD_RM,C37),INDEX(LD_RM,C37)+D37*(INDEX(LD_RM,C37+1)-INDEX(LD_RM,C37))),NA()))</f>
        <v>22.3</v>
      </c>
      <c r="I37" s="0">
        <f>IF(C37=0,NA(),IF(AND(IF(ISNUMBER(INDEX(LD_RD,C37)),AND(INDEX(LD_RD,C37)&lt;&gt;LD_Null,INDEX(LD_RD,C37)&gt;0),FALSE),OR(D37=0,IF(ISNUMBER(INDEX(LD_RD,C37+1)),AND(INDEX(LD_RD,C37+1)&lt;&gt;LD_Null,INDEX(LD_RD,C37+1)&gt;0),FALSE))),IF(D37=0,INDEX(LD_RD,C37),INDEX(LD_RD,C37)+D37*(INDEX(LD_RD,C37+1)-INDEX(LD_RD,C37))),NA()))</f>
        <v>47.3</v>
      </c>
      <c r="J37" s="19">
        <f>IF(ISNUMBER(F37),MAX(0,MIN(1,(F37-LD_GRClean)/(LD_GRShale-LD_GRClean))),NA())</f>
        <v>0.056470588235294085</v>
      </c>
      <c r="K37" s="19">
        <f>IF(ISNUMBER(E37),(MAX(LD_SPMin,MIN(E37,LD_SPBase))-LD_SPMin)/(LD_SPMax-LD_SPMin),NA())</f>
        <v>0.23</v>
      </c>
      <c r="L37" s="19">
        <f>IF(ISNUMBER(E37),(LD_SPBase-MAX(LD_SPMin,MIN(E37,LD_SPBase)))/(LD_SPMax-LD_SPMin),NA())</f>
        <v>0.62</v>
      </c>
      <c r="M37" s="19">
        <f>IF(ISNUMBER(E37),(MIN(LD_SPMax,MAX(E37,LD_SPBase))-LD_SPBase)/(LD_SPMax-LD_SPMin),NA())</f>
        <v>0</v>
      </c>
      <c r="N37" s="19">
        <f>IF(ISNUMBER(F37),MAX(0,MIN(1,(F37-LD_GRMin)/(LD_GRMax-LD_GRMin))),NA())</f>
        <v>0.23199999999999998</v>
      </c>
      <c r="O37" s="0">
        <f>IF(ISNUMBER(F37),(F37&gt;=LD_GRB1)+(F37&gt;=LD_GRB2)+(F37&gt;=LD_GRB3)+(F37&gt;=LD_GRB4),NA())</f>
        <v>0</v>
      </c>
      <c r="P37" s="19">
        <f>IF(ISNUMBER(O37),IF(O37=0,N37,0),NA())</f>
        <v>0.23199999999999998</v>
      </c>
      <c r="Q37" s="19">
        <f>IF(ISNUMBER(O37),IF(O37=1,N37,0),NA())</f>
        <v>0</v>
      </c>
      <c r="R37" s="19">
        <f>IF(ISNUMBER(O37),IF(O37=2,N37,0),NA())</f>
        <v>0</v>
      </c>
      <c r="S37" s="19">
        <f>IF(ISNUMBER(O37),IF(O37=3,N37,0),NA())</f>
        <v>0</v>
      </c>
      <c r="T37" s="19">
        <f>IF(ISNUMBER(O37),IF(O37=4,N37,0),NA())</f>
        <v>0</v>
      </c>
      <c r="U37" s="19">
        <f>IF(ISNUMBER(G37),MAX(0,MIN(1,(LOG10(G37)-LD_RLog0)/LD_RSpan)),NA())</f>
        <v>0.4091219740883414</v>
      </c>
      <c r="V37" s="19">
        <f>IF(ISNUMBER(H37),MAX(0,MIN(1,(LOG10(H37)-LD_RLog0)/LD_RSpan)),NA())</f>
        <v>0.5118187168460449</v>
      </c>
      <c r="W37" s="19">
        <f>IF(ISNUMBER(I37),MAX(0,MIN(1,(LOG10(I37)-LD_RLog0)/LD_RSpan)),NA())</f>
        <v>0.5934577862684576</v>
      </c>
      <c r="Y37" s="19"/>
      <c r="Z37" s="19"/>
      <c r="AA37" s="19">
        <f>MAX(0,MIN(1,(LD_Dec0+1+LOG10(5)-LD_RLog0)/LD_RSpan))</f>
        <v>0.3494850021680094</v>
      </c>
      <c r="AB37" s="19">
        <v>-1.5</v>
      </c>
    </row>
    <row r="38">
      <c r="A38" s="0">
        <v>24</v>
      </c>
      <c r="B38" s="18">
        <f>LD_Top+(A38+0.5)*LD_Step</f>
        <v>5024.5</v>
      </c>
      <c r="C38" s="0">
        <f>IF(OR(LD_N&lt;2,B38&lt;LD_First,B38&gt;LD_Last),0,MIN(MATCH(B38,LD_Depth,1),LD_N-1))</f>
        <v>50</v>
      </c>
      <c r="D38" s="19">
        <f>IF(C38=0,0,(B38-INDEX(LD_Depth,C38))/(INDEX(LD_Depth,C38+1)-INDEX(LD_Depth,C38)))</f>
        <v>0</v>
      </c>
      <c r="E38" s="0">
        <f>IF(C38=0,NA(),IF(AND(IF(ISNUMBER(INDEX(LD_SP,C38)),INDEX(LD_SP,C38)&lt;&gt;LD_Null,FALSE),OR(D38=0,IF(ISNUMBER(INDEX(LD_SP,C38+1)),INDEX(LD_SP,C38+1)&lt;&gt;LD_Null,FALSE))),IF(D38=0,INDEX(LD_SP,C38),INDEX(LD_SP,C38)+D38*(INDEX(LD_SP,C38+1)-INDEX(LD_SP,C38))),NA()))</f>
        <v>-78.5</v>
      </c>
      <c r="F38" s="0">
        <f>IF(C38=0,NA(),IF(AND(IF(ISNUMBER(INDEX(LD_GR,C38)),INDEX(LD_GR,C38)&lt;&gt;LD_Null,FALSE),OR(D38=0,IF(ISNUMBER(INDEX(LD_GR,C38+1)),INDEX(LD_GR,C38+1)&lt;&gt;LD_Null,FALSE))),IF(D38=0,INDEX(LD_GR,C38),INDEX(LD_GR,C38)+D38*(INDEX(LD_GR,C38+1)-INDEX(LD_GR,C38))),NA()))</f>
        <v>31.2</v>
      </c>
      <c r="G38" s="0">
        <f>IF(C38=0,NA(),IF(AND(IF(ISNUMBER(INDEX(LD_RS,C38)),AND(INDEX(LD_RS,C38)&lt;&gt;LD_Null,INDEX(LD_RS,C38)&gt;0),FALSE),OR(D38=0,IF(ISNUMBER(INDEX(LD_RS,C38+1)),AND(INDEX(LD_RS,C38+1)&lt;&gt;LD_Null,INDEX(LD_RS,C38+1)&gt;0),FALSE))),IF(D38=0,INDEX(LD_RS,C38),INDEX(LD_RS,C38)+D38*(INDEX(LD_RS,C38+1)-INDEX(LD_RS,C38))),NA()))</f>
        <v>8.77</v>
      </c>
      <c r="H38" s="0">
        <f>IF(C38=0,NA(),IF(AND(IF(ISNUMBER(INDEX(LD_RM,C38)),AND(INDEX(LD_RM,C38)&lt;&gt;LD_Null,INDEX(LD_RM,C38)&gt;0),FALSE),OR(D38=0,IF(ISNUMBER(INDEX(LD_RM,C38+1)),AND(INDEX(LD_RM,C38+1)&lt;&gt;LD_Null,INDEX(LD_RM,C38+1)&gt;0),FALSE))),IF(D38=0,INDEX(LD_RM,C38),INDEX(LD_RM,C38)+D38*(INDEX(LD_RM,C38+1)-INDEX(LD_RM,C38))),NA()))</f>
        <v>23.1</v>
      </c>
      <c r="I38" s="0">
        <f>IF(C38=0,NA(),IF(AND(IF(ISNUMBER(INDEX(LD_RD,C38)),AND(INDEX(LD_RD,C38)&lt;&gt;LD_Null,INDEX(LD_RD,C38)&gt;0),FALSE),OR(D38=0,IF(ISNUMBER(INDEX(LD_RD,C38+1)),AND(INDEX(LD_RD,C38+1)&lt;&gt;LD_Null,INDEX(LD_RD,C38+1)&gt;0),FALSE))),IF(D38=0,INDEX(LD_RD,C38),INDEX(LD_RD,C38)+D38*(INDEX(LD_RD,C38+1)-INDEX(LD_RD,C38))),NA()))</f>
        <v>46.5</v>
      </c>
      <c r="J38" s="19">
        <f>IF(ISNUMBER(F38),MAX(0,MIN(1,(F38-LD_GRClean)/(LD_GRShale-LD_GRClean))),NA())</f>
        <v>0.014117647058823521</v>
      </c>
      <c r="K38" s="19">
        <f>IF(ISNUMBER(E38),(MAX(LD_SPMin,MIN(E38,LD_SPBase))-LD_SPMin)/(LD_SPMax-LD_SPMin),NA())</f>
        <v>0.215</v>
      </c>
      <c r="L38" s="19">
        <f>IF(ISNUMBER(E38),(LD_SPBase-MAX(LD_SPMin,MIN(E38,LD_SPBase)))/(LD_SPMax-LD_SPMin),NA())</f>
        <v>0.635</v>
      </c>
      <c r="M38" s="19">
        <f>IF(ISNUMBER(E38),(MIN(LD_SPMax,MAX(E38,LD_SPBase))-LD_SPBase)/(LD_SPMax-LD_SPMin),NA())</f>
        <v>0</v>
      </c>
      <c r="N38" s="19">
        <f>IF(ISNUMBER(F38),MAX(0,MIN(1,(F38-LD_GRMin)/(LD_GRMax-LD_GRMin))),NA())</f>
        <v>0.208</v>
      </c>
      <c r="O38" s="0">
        <f>IF(ISNUMBER(F38),(F38&gt;=LD_GRB1)+(F38&gt;=LD_GRB2)+(F38&gt;=LD_GRB3)+(F38&gt;=LD_GRB4),NA())</f>
        <v>0</v>
      </c>
      <c r="P38" s="19">
        <f>IF(ISNUMBER(O38),IF(O38=0,N38,0),NA())</f>
        <v>0.208</v>
      </c>
      <c r="Q38" s="19">
        <f>IF(ISNUMBER(O38),IF(O38=1,N38,0),NA())</f>
        <v>0</v>
      </c>
      <c r="R38" s="19">
        <f>IF(ISNUMBER(O38),IF(O38=2,N38,0),NA())</f>
        <v>0</v>
      </c>
      <c r="S38" s="19">
        <f>IF(ISNUMBER(O38),IF(O38=3,N38,0),NA())</f>
        <v>0</v>
      </c>
      <c r="T38" s="19">
        <f>IF(ISNUMBER(O38),IF(O38=4,N38,0),NA())</f>
        <v>0</v>
      </c>
      <c r="U38" s="19">
        <f>IF(ISNUMBER(G38),MAX(0,MIN(1,(LOG10(G38)-LD_RLog0)/LD_RSpan)),NA())</f>
        <v>0.4104923994255148</v>
      </c>
      <c r="V38" s="19">
        <f>IF(ISNUMBER(H38),MAX(0,MIN(1,(LOG10(H38)-LD_RLog0)/LD_RSpan)),NA())</f>
        <v>0.5156454960570408</v>
      </c>
      <c r="W38" s="19">
        <f>IF(ISNUMBER(I38),MAX(0,MIN(1,(LOG10(I38)-LD_RLog0)/LD_RSpan)),NA())</f>
        <v>0.5916057393064932</v>
      </c>
      <c r="Y38" s="19"/>
      <c r="Z38" s="19"/>
      <c r="AA38" s="19">
        <f>MAX(0,MIN(1,(LD_Dec0+1+LOG10(6)-LD_RLog0)/LD_RSpan))</f>
        <v>0.3692803136799156</v>
      </c>
      <c r="AB38" s="19">
        <v>-1.5</v>
      </c>
    </row>
    <row r="39">
      <c r="A39" s="0">
        <v>25</v>
      </c>
      <c r="B39" s="18">
        <f>LD_Top+(A39+0.5)*LD_Step</f>
        <v>5025.5</v>
      </c>
      <c r="C39" s="0">
        <f>IF(OR(LD_N&lt;2,B39&lt;LD_First,B39&gt;LD_Last),0,MIN(MATCH(B39,LD_Depth,1),LD_N-1))</f>
        <v>52</v>
      </c>
      <c r="D39" s="19">
        <f>IF(C39=0,0,(B39-INDEX(LD_Depth,C39))/(INDEX(LD_Depth,C39+1)-INDEX(LD_Depth,C39)))</f>
        <v>0</v>
      </c>
      <c r="E39" s="0">
        <f>IF(C39=0,NA(),IF(AND(IF(ISNUMBER(INDEX(LD_SP,C39)),INDEX(LD_SP,C39)&lt;&gt;LD_Null,FALSE),OR(D39=0,IF(ISNUMBER(INDEX(LD_SP,C39+1)),INDEX(LD_SP,C39+1)&lt;&gt;LD_Null,FALSE))),IF(D39=0,INDEX(LD_SP,C39),INDEX(LD_SP,C39)+D39*(INDEX(LD_SP,C39+1)-INDEX(LD_SP,C39))),NA()))</f>
        <v>-78.9</v>
      </c>
      <c r="F39" s="0">
        <f>IF(C39=0,NA(),IF(AND(IF(ISNUMBER(INDEX(LD_GR,C39)),INDEX(LD_GR,C39)&lt;&gt;LD_Null,FALSE),OR(D39=0,IF(ISNUMBER(INDEX(LD_GR,C39+1)),INDEX(LD_GR,C39+1)&lt;&gt;LD_Null,FALSE))),IF(D39=0,INDEX(LD_GR,C39),INDEX(LD_GR,C39)+D39*(INDEX(LD_GR,C39+1)-INDEX(LD_GR,C39))),NA()))</f>
        <v>29.9</v>
      </c>
      <c r="G39" s="0">
        <f>IF(C39=0,NA(),IF(AND(IF(ISNUMBER(INDEX(LD_RS,C39)),AND(INDEX(LD_RS,C39)&lt;&gt;LD_Null,INDEX(LD_RS,C39)&gt;0),FALSE),OR(D39=0,IF(ISNUMBER(INDEX(LD_RS,C39+1)),AND(INDEX(LD_RS,C39+1)&lt;&gt;LD_Null,INDEX(LD_RS,C39+1)&gt;0),FALSE))),IF(D39=0,INDEX(LD_RS,C39),INDEX(LD_RS,C39)+D39*(INDEX(LD_RS,C39+1)-INDEX(LD_RS,C39))),NA()))</f>
        <v>9.21</v>
      </c>
      <c r="H39" s="0">
        <f>IF(C39=0,NA(),IF(AND(IF(ISNUMBER(INDEX(LD_RM,C39)),AND(INDEX(LD_RM,C39)&lt;&gt;LD_Null,INDEX(LD_RM,C39)&gt;0),FALSE),OR(D39=0,IF(ISNUMBER(INDEX(LD_RM,C39+1)),AND(INDEX(LD_RM,C39+1)&lt;&gt;LD_Null,INDEX(LD_RM,C39+1)&gt;0),FALSE))),IF(D39=0,INDEX(LD_RM,C39),INDEX(LD_RM,C39)+D39*(INDEX(LD_RM,C39+1)-INDEX(LD_RM,C39))),NA()))</f>
        <v>25.9</v>
      </c>
      <c r="I39" s="0">
        <f>IF(C39=0,NA(),IF(AND(IF(ISNUMBER(INDEX(LD_RD,C39)),AND(INDEX(LD_RD,C39)&lt;&gt;LD_Null,INDEX(LD_RD,C39)&gt;0),FALSE),OR(D39=0,IF(ISNUMBER(INDEX(LD_RD,C39+1)),AND(INDEX(LD_RD,C39+1)&lt;&gt;LD_Null,INDEX(LD_RD,C39+1)&gt;0),FALSE))),IF(D39=0,INDEX(LD_RD,C39),INDEX(LD_RD,C39)+D39*(INDEX(LD_RD,C39+1)-INDEX(LD_RD,C39))),NA()))</f>
        <v>51.9</v>
      </c>
      <c r="J39" s="19">
        <f>IF(ISNUMBER(F39),MAX(0,MIN(1,(F39-LD_GRClean)/(LD_GRShale-LD_GRClean))),NA())</f>
        <v>0</v>
      </c>
      <c r="K39" s="19">
        <f>IF(ISNUMBER(E39),(MAX(LD_SPMin,MIN(E39,LD_SPBase))-LD_SPMin)/(LD_SPMax-LD_SPMin),NA())</f>
        <v>0.21099999999999994</v>
      </c>
      <c r="L39" s="19">
        <f>IF(ISNUMBER(E39),(LD_SPBase-MAX(LD_SPMin,MIN(E39,LD_SPBase)))/(LD_SPMax-LD_SPMin),NA())</f>
        <v>0.639</v>
      </c>
      <c r="M39" s="19">
        <f>IF(ISNUMBER(E39),(MIN(LD_SPMax,MAX(E39,LD_SPBase))-LD_SPBase)/(LD_SPMax-LD_SPMin),NA())</f>
        <v>0</v>
      </c>
      <c r="N39" s="19">
        <f>IF(ISNUMBER(F39),MAX(0,MIN(1,(F39-LD_GRMin)/(LD_GRMax-LD_GRMin))),NA())</f>
        <v>0.19933333333333333</v>
      </c>
      <c r="O39" s="0">
        <f>IF(ISNUMBER(F39),(F39&gt;=LD_GRB1)+(F39&gt;=LD_GRB2)+(F39&gt;=LD_GRB3)+(F39&gt;=LD_GRB4),NA())</f>
        <v>0</v>
      </c>
      <c r="P39" s="19">
        <f>IF(ISNUMBER(O39),IF(O39=0,N39,0),NA())</f>
        <v>0.19933333333333333</v>
      </c>
      <c r="Q39" s="19">
        <f>IF(ISNUMBER(O39),IF(O39=1,N39,0),NA())</f>
        <v>0</v>
      </c>
      <c r="R39" s="19">
        <f>IF(ISNUMBER(O39),IF(O39=2,N39,0),NA())</f>
        <v>0</v>
      </c>
      <c r="S39" s="19">
        <f>IF(ISNUMBER(O39),IF(O39=3,N39,0),NA())</f>
        <v>0</v>
      </c>
      <c r="T39" s="19">
        <f>IF(ISNUMBER(O39),IF(O39=4,N39,0),NA())</f>
        <v>0</v>
      </c>
      <c r="U39" s="19">
        <f>IF(ISNUMBER(G39),MAX(0,MIN(1,(LOG10(G39)-LD_RLog0)/LD_RSpan)),NA())</f>
        <v>0.41580740863321697</v>
      </c>
      <c r="V39" s="19">
        <f>IF(ISNUMBER(H39),MAX(0,MIN(1,(LOG10(H39)-LD_RLog0)/LD_RSpan)),NA())</f>
        <v>0.5280674421043177</v>
      </c>
      <c r="W39" s="19">
        <f>IF(ISNUMBER(I39),MAX(0,MIN(1,(LOG10(I39)-LD_RLog0)/LD_RSpan)),NA())</f>
        <v>0.6035343405461191</v>
      </c>
      <c r="Y39" s="19"/>
      <c r="Z39" s="19"/>
      <c r="AA39" s="19">
        <f>MAX(0,MIN(1,(LD_Dec0+1+LOG10(6)-LD_RLog0)/LD_RSpan))</f>
        <v>0.3692803136799156</v>
      </c>
      <c r="AB39" s="19">
        <v>120.5</v>
      </c>
    </row>
    <row r="40">
      <c r="A40" s="0">
        <v>26</v>
      </c>
      <c r="B40" s="18">
        <f>LD_Top+(A40+0.5)*LD_Step</f>
        <v>5026.5</v>
      </c>
      <c r="C40" s="0">
        <f>IF(OR(LD_N&lt;2,B40&lt;LD_First,B40&gt;LD_Last),0,MIN(MATCH(B40,LD_Depth,1),LD_N-1))</f>
        <v>54</v>
      </c>
      <c r="D40" s="19">
        <f>IF(C40=0,0,(B40-INDEX(LD_Depth,C40))/(INDEX(LD_Depth,C40+1)-INDEX(LD_Depth,C40)))</f>
        <v>0</v>
      </c>
      <c r="E40" s="0">
        <f>IF(C40=0,NA(),IF(AND(IF(ISNUMBER(INDEX(LD_SP,C40)),INDEX(LD_SP,C40)&lt;&gt;LD_Null,FALSE),OR(D40=0,IF(ISNUMBER(INDEX(LD_SP,C40+1)),INDEX(LD_SP,C40+1)&lt;&gt;LD_Null,FALSE))),IF(D40=0,INDEX(LD_SP,C40),INDEX(LD_SP,C40)+D40*(INDEX(LD_SP,C40+1)-INDEX(LD_SP,C40))),NA()))</f>
        <v>-76.8</v>
      </c>
      <c r="F40" s="0">
        <f>IF(C40=0,NA(),IF(AND(IF(ISNUMBER(INDEX(LD_GR,C40)),INDEX(LD_GR,C40)&lt;&gt;LD_Null,FALSE),OR(D40=0,IF(ISNUMBER(INDEX(LD_GR,C40+1)),INDEX(LD_GR,C40+1)&lt;&gt;LD_Null,FALSE))),IF(D40=0,INDEX(LD_GR,C40),INDEX(LD_GR,C40)+D40*(INDEX(LD_GR,C40+1)-INDEX(LD_GR,C40))),NA()))</f>
        <v>33.4</v>
      </c>
      <c r="G40" s="0">
        <f>IF(C40=0,NA(),IF(AND(IF(ISNUMBER(INDEX(LD_RS,C40)),AND(INDEX(LD_RS,C40)&lt;&gt;LD_Null,INDEX(LD_RS,C40)&gt;0),FALSE),OR(D40=0,IF(ISNUMBER(INDEX(LD_RS,C40+1)),AND(INDEX(LD_RS,C40+1)&lt;&gt;LD_Null,INDEX(LD_RS,C40+1)&gt;0),FALSE))),IF(D40=0,INDEX(LD_RS,C40),INDEX(LD_RS,C40)+D40*(INDEX(LD_RS,C40+1)-INDEX(LD_RS,C40))),NA()))</f>
        <v>9.16</v>
      </c>
      <c r="H40" s="0">
        <f>IF(C40=0,NA(),IF(AND(IF(ISNUMBER(INDEX(LD_RM,C40)),AND(INDEX(LD_RM,C40)&lt;&gt;LD_Null,INDEX(LD_RM,C40)&gt;0),FALSE),OR(D40=0,IF(ISNUMBER(INDEX(LD_RM,C40+1)),AND(INDEX(LD_RM,C40+1)&lt;&gt;LD_Null,INDEX(LD_RM,C40+1)&gt;0),FALSE))),IF(D40=0,INDEX(LD_RM,C40),INDEX(LD_RM,C40)+D40*(INDEX(LD_RM,C40+1)-INDEX(LD_RM,C40))),NA()))</f>
        <v>24.3</v>
      </c>
      <c r="I40" s="0">
        <f>IF(C40=0,NA(),IF(AND(IF(ISNUMBER(INDEX(LD_RD,C40)),AND(INDEX(LD_RD,C40)&lt;&gt;LD_Null,INDEX(LD_RD,C40)&gt;0),FALSE),OR(D40=0,IF(ISNUMBER(INDEX(LD_RD,C40+1)),AND(INDEX(LD_RD,C40+1)&lt;&gt;LD_Null,INDEX(LD_RD,C40+1)&gt;0),FALSE))),IF(D40=0,INDEX(LD_RD,C40),INDEX(LD_RD,C40)+D40*(INDEX(LD_RD,C40+1)-INDEX(LD_RD,C40))),NA()))</f>
        <v>47.1</v>
      </c>
      <c r="J40" s="19">
        <f>IF(ISNUMBER(F40),MAX(0,MIN(1,(F40-LD_GRClean)/(LD_GRShale-LD_GRClean))),NA())</f>
        <v>0.03999999999999998</v>
      </c>
      <c r="K40" s="19">
        <f>IF(ISNUMBER(E40),(MAX(LD_SPMin,MIN(E40,LD_SPBase))-LD_SPMin)/(LD_SPMax-LD_SPMin),NA())</f>
        <v>0.23200000000000004</v>
      </c>
      <c r="L40" s="19">
        <f>IF(ISNUMBER(E40),(LD_SPBase-MAX(LD_SPMin,MIN(E40,LD_SPBase)))/(LD_SPMax-LD_SPMin),NA())</f>
        <v>0.618</v>
      </c>
      <c r="M40" s="19">
        <f>IF(ISNUMBER(E40),(MIN(LD_SPMax,MAX(E40,LD_SPBase))-LD_SPBase)/(LD_SPMax-LD_SPMin),NA())</f>
        <v>0</v>
      </c>
      <c r="N40" s="19">
        <f>IF(ISNUMBER(F40),MAX(0,MIN(1,(F40-LD_GRMin)/(LD_GRMax-LD_GRMin))),NA())</f>
        <v>0.22266666666666665</v>
      </c>
      <c r="O40" s="0">
        <f>IF(ISNUMBER(F40),(F40&gt;=LD_GRB1)+(F40&gt;=LD_GRB2)+(F40&gt;=LD_GRB3)+(F40&gt;=LD_GRB4),NA())</f>
        <v>0</v>
      </c>
      <c r="P40" s="19">
        <f>IF(ISNUMBER(O40),IF(O40=0,N40,0),NA())</f>
        <v>0.22266666666666665</v>
      </c>
      <c r="Q40" s="19">
        <f>IF(ISNUMBER(O40),IF(O40=1,N40,0),NA())</f>
        <v>0</v>
      </c>
      <c r="R40" s="19">
        <f>IF(ISNUMBER(O40),IF(O40=2,N40,0),NA())</f>
        <v>0</v>
      </c>
      <c r="S40" s="19">
        <f>IF(ISNUMBER(O40),IF(O40=3,N40,0),NA())</f>
        <v>0</v>
      </c>
      <c r="T40" s="19">
        <f>IF(ISNUMBER(O40),IF(O40=4,N40,0),NA())</f>
        <v>0</v>
      </c>
      <c r="U40" s="19">
        <f>IF(ISNUMBER(G40),MAX(0,MIN(1,(LOG10(G40)-LD_RLog0)/LD_RSpan)),NA())</f>
        <v>0.4152163695009673</v>
      </c>
      <c r="V40" s="19">
        <f>IF(ISNUMBER(H40),MAX(0,MIN(1,(LOG10(H40)-LD_RLog0)/LD_RSpan)),NA())</f>
        <v>0.5211440694835827</v>
      </c>
      <c r="W40" s="19">
        <f>IF(ISNUMBER(I40),MAX(0,MIN(1,(LOG10(I40)-LD_RLog0)/LD_RSpan)),NA())</f>
        <v>0.5929977278662287</v>
      </c>
      <c r="Y40" s="19"/>
      <c r="Z40" s="19"/>
      <c r="AA40" s="19">
        <f>MAX(0,MIN(1,(LD_Dec0+1+LOG10(7)-LD_RLog0)/LD_RSpan))</f>
        <v>0.3860170110875689</v>
      </c>
      <c r="AB40" s="19">
        <v>120.5</v>
      </c>
    </row>
    <row r="41">
      <c r="A41" s="0">
        <v>27</v>
      </c>
      <c r="B41" s="18">
        <f>LD_Top+(A41+0.5)*LD_Step</f>
        <v>5027.5</v>
      </c>
      <c r="C41" s="0">
        <f>IF(OR(LD_N&lt;2,B41&lt;LD_First,B41&gt;LD_Last),0,MIN(MATCH(B41,LD_Depth,1),LD_N-1))</f>
        <v>56</v>
      </c>
      <c r="D41" s="19">
        <f>IF(C41=0,0,(B41-INDEX(LD_Depth,C41))/(INDEX(LD_Depth,C41+1)-INDEX(LD_Depth,C41)))</f>
        <v>0</v>
      </c>
      <c r="E41" s="0">
        <f>IF(C41=0,NA(),IF(AND(IF(ISNUMBER(INDEX(LD_SP,C41)),INDEX(LD_SP,C41)&lt;&gt;LD_Null,FALSE),OR(D41=0,IF(ISNUMBER(INDEX(LD_SP,C41+1)),INDEX(LD_SP,C41+1)&lt;&gt;LD_Null,FALSE))),IF(D41=0,INDEX(LD_SP,C41),INDEX(LD_SP,C41)+D41*(INDEX(LD_SP,C41+1)-INDEX(LD_SP,C41))),NA()))</f>
        <v>-77.8</v>
      </c>
      <c r="F41" s="0">
        <f>IF(C41=0,NA(),IF(AND(IF(ISNUMBER(INDEX(LD_GR,C41)),INDEX(LD_GR,C41)&lt;&gt;LD_Null,FALSE),OR(D41=0,IF(ISNUMBER(INDEX(LD_GR,C41+1)),INDEX(LD_GR,C41+1)&lt;&gt;LD_Null,FALSE))),IF(D41=0,INDEX(LD_GR,C41),INDEX(LD_GR,C41)+D41*(INDEX(LD_GR,C41+1)-INDEX(LD_GR,C41))),NA()))</f>
        <v>32.8</v>
      </c>
      <c r="G41" s="0">
        <f>IF(C41=0,NA(),IF(AND(IF(ISNUMBER(INDEX(LD_RS,C41)),AND(INDEX(LD_RS,C41)&lt;&gt;LD_Null,INDEX(LD_RS,C41)&gt;0),FALSE),OR(D41=0,IF(ISNUMBER(INDEX(LD_RS,C41+1)),AND(INDEX(LD_RS,C41+1)&lt;&gt;LD_Null,INDEX(LD_RS,C41+1)&gt;0),FALSE))),IF(D41=0,INDEX(LD_RS,C41),INDEX(LD_RS,C41)+D41*(INDEX(LD_RS,C41+1)-INDEX(LD_RS,C41))),NA()))</f>
        <v>8.97</v>
      </c>
      <c r="H41" s="0">
        <f>IF(C41=0,NA(),IF(AND(IF(ISNUMBER(INDEX(LD_RM,C41)),AND(INDEX(LD_RM,C41)&lt;&gt;LD_Null,INDEX(LD_RM,C41)&gt;0),FALSE),OR(D41=0,IF(ISNUMBER(INDEX(LD_RM,C41+1)),AND(INDEX(LD_RM,C41+1)&lt;&gt;LD_Null,INDEX(LD_RM,C41+1)&gt;0),FALSE))),IF(D41=0,INDEX(LD_RM,C41),INDEX(LD_RM,C41)+D41*(INDEX(LD_RM,C41+1)-INDEX(LD_RM,C41))),NA()))</f>
        <v>22</v>
      </c>
      <c r="I41" s="0">
        <f>IF(C41=0,NA(),IF(AND(IF(ISNUMBER(INDEX(LD_RD,C41)),AND(INDEX(LD_RD,C41)&lt;&gt;LD_Null,INDEX(LD_RD,C41)&gt;0),FALSE),OR(D41=0,IF(ISNUMBER(INDEX(LD_RD,C41+1)),AND(INDEX(LD_RD,C41+1)&lt;&gt;LD_Null,INDEX(LD_RD,C41+1)&gt;0),FALSE))),IF(D41=0,INDEX(LD_RD,C41),INDEX(LD_RD,C41)+D41*(INDEX(LD_RD,C41+1)-INDEX(LD_RD,C41))),NA()))</f>
        <v>44.7</v>
      </c>
      <c r="J41" s="19">
        <f>IF(ISNUMBER(F41),MAX(0,MIN(1,(F41-LD_GRClean)/(LD_GRShale-LD_GRClean))),NA())</f>
        <v>0.0329411764705882</v>
      </c>
      <c r="K41" s="19">
        <f>IF(ISNUMBER(E41),(MAX(LD_SPMin,MIN(E41,LD_SPBase))-LD_SPMin)/(LD_SPMax-LD_SPMin),NA())</f>
        <v>0.22200000000000003</v>
      </c>
      <c r="L41" s="19">
        <f>IF(ISNUMBER(E41),(LD_SPBase-MAX(LD_SPMin,MIN(E41,LD_SPBase)))/(LD_SPMax-LD_SPMin),NA())</f>
        <v>0.628</v>
      </c>
      <c r="M41" s="19">
        <f>IF(ISNUMBER(E41),(MIN(LD_SPMax,MAX(E41,LD_SPBase))-LD_SPBase)/(LD_SPMax-LD_SPMin),NA())</f>
        <v>0</v>
      </c>
      <c r="N41" s="19">
        <f>IF(ISNUMBER(F41),MAX(0,MIN(1,(F41-LD_GRMin)/(LD_GRMax-LD_GRMin))),NA())</f>
        <v>0.21866666666666665</v>
      </c>
      <c r="O41" s="0">
        <f>IF(ISNUMBER(F41),(F41&gt;=LD_GRB1)+(F41&gt;=LD_GRB2)+(F41&gt;=LD_GRB3)+(F41&gt;=LD_GRB4),NA())</f>
        <v>0</v>
      </c>
      <c r="P41" s="19">
        <f>IF(ISNUMBER(O41),IF(O41=0,N41,0),NA())</f>
        <v>0.21866666666666665</v>
      </c>
      <c r="Q41" s="19">
        <f>IF(ISNUMBER(O41),IF(O41=1,N41,0),NA())</f>
        <v>0</v>
      </c>
      <c r="R41" s="19">
        <f>IF(ISNUMBER(O41),IF(O41=2,N41,0),NA())</f>
        <v>0</v>
      </c>
      <c r="S41" s="19">
        <f>IF(ISNUMBER(O41),IF(O41=3,N41,0),NA())</f>
        <v>0</v>
      </c>
      <c r="T41" s="19">
        <f>IF(ISNUMBER(O41),IF(O41=4,N41,0),NA())</f>
        <v>0</v>
      </c>
      <c r="U41" s="19">
        <f>IF(ISNUMBER(G41),MAX(0,MIN(1,(LOG10(G41)-LD_RLog0)/LD_RSpan)),NA())</f>
        <v>0.4129406118450277</v>
      </c>
      <c r="V41" s="19">
        <f>IF(ISNUMBER(H41),MAX(0,MIN(1,(LOG10(H41)-LD_RLog0)/LD_RSpan)),NA())</f>
        <v>0.5103481712895562</v>
      </c>
      <c r="W41" s="19">
        <f>IF(ISNUMBER(I41),MAX(0,MIN(1,(LOG10(I41)-LD_RLog0)/LD_RSpan)),NA())</f>
        <v>0.5873193818669888</v>
      </c>
      <c r="Y41" s="19"/>
      <c r="Z41" s="19"/>
      <c r="AA41" s="19">
        <f>MAX(0,MIN(1,(LD_Dec0+1+LOG10(7)-LD_RLog0)/LD_RSpan))</f>
        <v>0.3860170110875689</v>
      </c>
      <c r="AB41" s="19">
        <v>-1.5</v>
      </c>
    </row>
    <row r="42">
      <c r="A42" s="0">
        <v>28</v>
      </c>
      <c r="B42" s="18">
        <f>LD_Top+(A42+0.5)*LD_Step</f>
        <v>5028.5</v>
      </c>
      <c r="C42" s="0">
        <f>IF(OR(LD_N&lt;2,B42&lt;LD_First,B42&gt;LD_Last),0,MIN(MATCH(B42,LD_Depth,1),LD_N-1))</f>
        <v>58</v>
      </c>
      <c r="D42" s="19">
        <f>IF(C42=0,0,(B42-INDEX(LD_Depth,C42))/(INDEX(LD_Depth,C42+1)-INDEX(LD_Depth,C42)))</f>
        <v>0</v>
      </c>
      <c r="E42" s="0">
        <f>IF(C42=0,NA(),IF(AND(IF(ISNUMBER(INDEX(LD_SP,C42)),INDEX(LD_SP,C42)&lt;&gt;LD_Null,FALSE),OR(D42=0,IF(ISNUMBER(INDEX(LD_SP,C42+1)),INDEX(LD_SP,C42+1)&lt;&gt;LD_Null,FALSE))),IF(D42=0,INDEX(LD_SP,C42),INDEX(LD_SP,C42)+D42*(INDEX(LD_SP,C42+1)-INDEX(LD_SP,C42))),NA()))</f>
        <v>-78.9</v>
      </c>
      <c r="F42" s="0">
        <f>IF(C42=0,NA(),IF(AND(IF(ISNUMBER(INDEX(LD_GR,C42)),INDEX(LD_GR,C42)&lt;&gt;LD_Null,FALSE),OR(D42=0,IF(ISNUMBER(INDEX(LD_GR,C42+1)),INDEX(LD_GR,C42+1)&lt;&gt;LD_Null,FALSE))),IF(D42=0,INDEX(LD_GR,C42),INDEX(LD_GR,C42)+D42*(INDEX(LD_GR,C42+1)-INDEX(LD_GR,C42))),NA()))</f>
        <v>32.1</v>
      </c>
      <c r="G42" s="0">
        <f>IF(C42=0,NA(),IF(AND(IF(ISNUMBER(INDEX(LD_RS,C42)),AND(INDEX(LD_RS,C42)&lt;&gt;LD_Null,INDEX(LD_RS,C42)&gt;0),FALSE),OR(D42=0,IF(ISNUMBER(INDEX(LD_RS,C42+1)),AND(INDEX(LD_RS,C42+1)&lt;&gt;LD_Null,INDEX(LD_RS,C42+1)&gt;0),FALSE))),IF(D42=0,INDEX(LD_RS,C42),INDEX(LD_RS,C42)+D42*(INDEX(LD_RS,C42+1)-INDEX(LD_RS,C42))),NA()))</f>
        <v>8.59</v>
      </c>
      <c r="H42" s="0">
        <f>IF(C42=0,NA(),IF(AND(IF(ISNUMBER(INDEX(LD_RM,C42)),AND(INDEX(LD_RM,C42)&lt;&gt;LD_Null,INDEX(LD_RM,C42)&gt;0),FALSE),OR(D42=0,IF(ISNUMBER(INDEX(LD_RM,C42+1)),AND(INDEX(LD_RM,C42+1)&lt;&gt;LD_Null,INDEX(LD_RM,C42+1)&gt;0),FALSE))),IF(D42=0,INDEX(LD_RM,C42),INDEX(LD_RM,C42)+D42*(INDEX(LD_RM,C42+1)-INDEX(LD_RM,C42))),NA()))</f>
        <v>25.1</v>
      </c>
      <c r="I42" s="0">
        <f>IF(C42=0,NA(),IF(AND(IF(ISNUMBER(INDEX(LD_RD,C42)),AND(INDEX(LD_RD,C42)&lt;&gt;LD_Null,INDEX(LD_RD,C42)&gt;0),FALSE),OR(D42=0,IF(ISNUMBER(INDEX(LD_RD,C42+1)),AND(INDEX(LD_RD,C42+1)&lt;&gt;LD_Null,INDEX(LD_RD,C42+1)&gt;0),FALSE))),IF(D42=0,INDEX(LD_RD,C42),INDEX(LD_RD,C42)+D42*(INDEX(LD_RD,C42+1)-INDEX(LD_RD,C42))),NA()))</f>
        <v>49.7</v>
      </c>
      <c r="J42" s="19">
        <f>IF(ISNUMBER(F42),MAX(0,MIN(1,(F42-LD_GRClean)/(LD_GRShale-LD_GRClean))),NA())</f>
        <v>0.024705882352941192</v>
      </c>
      <c r="K42" s="19">
        <f>IF(ISNUMBER(E42),(MAX(LD_SPMin,MIN(E42,LD_SPBase))-LD_SPMin)/(LD_SPMax-LD_SPMin),NA())</f>
        <v>0.21099999999999994</v>
      </c>
      <c r="L42" s="19">
        <f>IF(ISNUMBER(E42),(LD_SPBase-MAX(LD_SPMin,MIN(E42,LD_SPBase)))/(LD_SPMax-LD_SPMin),NA())</f>
        <v>0.639</v>
      </c>
      <c r="M42" s="19">
        <f>IF(ISNUMBER(E42),(MIN(LD_SPMax,MAX(E42,LD_SPBase))-LD_SPBase)/(LD_SPMax-LD_SPMin),NA())</f>
        <v>0</v>
      </c>
      <c r="N42" s="19">
        <f>IF(ISNUMBER(F42),MAX(0,MIN(1,(F42-LD_GRMin)/(LD_GRMax-LD_GRMin))),NA())</f>
        <v>0.214</v>
      </c>
      <c r="O42" s="0">
        <f>IF(ISNUMBER(F42),(F42&gt;=LD_GRB1)+(F42&gt;=LD_GRB2)+(F42&gt;=LD_GRB3)+(F42&gt;=LD_GRB4),NA())</f>
        <v>0</v>
      </c>
      <c r="P42" s="19">
        <f>IF(ISNUMBER(O42),IF(O42=0,N42,0),NA())</f>
        <v>0.214</v>
      </c>
      <c r="Q42" s="19">
        <f>IF(ISNUMBER(O42),IF(O42=1,N42,0),NA())</f>
        <v>0</v>
      </c>
      <c r="R42" s="19">
        <f>IF(ISNUMBER(O42),IF(O42=2,N42,0),NA())</f>
        <v>0</v>
      </c>
      <c r="S42" s="19">
        <f>IF(ISNUMBER(O42),IF(O42=3,N42,0),NA())</f>
        <v>0</v>
      </c>
      <c r="T42" s="19">
        <f>IF(ISNUMBER(O42),IF(O42=4,N42,0),NA())</f>
        <v>0</v>
      </c>
      <c r="U42" s="19">
        <f>IF(ISNUMBER(G42),MAX(0,MIN(1,(LOG10(G42)-LD_RLog0)/LD_RSpan)),NA())</f>
        <v>0.4082407920418153</v>
      </c>
      <c r="V42" s="19">
        <f>IF(ISNUMBER(H42),MAX(0,MIN(1,(LOG10(H42)-LD_RLog0)/LD_RSpan)),NA())</f>
        <v>0.5246609314542643</v>
      </c>
      <c r="W42" s="19">
        <f>IF(ISNUMBER(I42),MAX(0,MIN(1,(LOG10(I42)-LD_RLog0)/LD_RSpan)),NA())</f>
        <v>0.5988315982673378</v>
      </c>
      <c r="Y42" s="19"/>
      <c r="Z42" s="19"/>
      <c r="AA42" s="19">
        <f>MAX(0,MIN(1,(LD_Dec0+1+LOG10(8)-LD_RLog0)/LD_RSpan))</f>
        <v>0.40051499783199057</v>
      </c>
      <c r="AB42" s="19">
        <v>-1.5</v>
      </c>
    </row>
    <row r="43">
      <c r="A43" s="0">
        <v>29</v>
      </c>
      <c r="B43" s="18">
        <f>LD_Top+(A43+0.5)*LD_Step</f>
        <v>5029.5</v>
      </c>
      <c r="C43" s="0">
        <f>IF(OR(LD_N&lt;2,B43&lt;LD_First,B43&gt;LD_Last),0,MIN(MATCH(B43,LD_Depth,1),LD_N-1))</f>
        <v>60</v>
      </c>
      <c r="D43" s="19">
        <f>IF(C43=0,0,(B43-INDEX(LD_Depth,C43))/(INDEX(LD_Depth,C43+1)-INDEX(LD_Depth,C43)))</f>
        <v>0</v>
      </c>
      <c r="E43" s="0">
        <f>IF(C43=0,NA(),IF(AND(IF(ISNUMBER(INDEX(LD_SP,C43)),INDEX(LD_SP,C43)&lt;&gt;LD_Null,FALSE),OR(D43=0,IF(ISNUMBER(INDEX(LD_SP,C43+1)),INDEX(LD_SP,C43+1)&lt;&gt;LD_Null,FALSE))),IF(D43=0,INDEX(LD_SP,C43),INDEX(LD_SP,C43)+D43*(INDEX(LD_SP,C43+1)-INDEX(LD_SP,C43))),NA()))</f>
        <v>-77.6</v>
      </c>
      <c r="F43" s="0">
        <f>IF(C43=0,NA(),IF(AND(IF(ISNUMBER(INDEX(LD_GR,C43)),INDEX(LD_GR,C43)&lt;&gt;LD_Null,FALSE),OR(D43=0,IF(ISNUMBER(INDEX(LD_GR,C43+1)),INDEX(LD_GR,C43+1)&lt;&gt;LD_Null,FALSE))),IF(D43=0,INDEX(LD_GR,C43),INDEX(LD_GR,C43)+D43*(INDEX(LD_GR,C43+1)-INDEX(LD_GR,C43))),NA()))</f>
        <v>30.4</v>
      </c>
      <c r="G43" s="0">
        <f>IF(C43=0,NA(),IF(AND(IF(ISNUMBER(INDEX(LD_RS,C43)),AND(INDEX(LD_RS,C43)&lt;&gt;LD_Null,INDEX(LD_RS,C43)&gt;0),FALSE),OR(D43=0,IF(ISNUMBER(INDEX(LD_RS,C43+1)),AND(INDEX(LD_RS,C43+1)&lt;&gt;LD_Null,INDEX(LD_RS,C43+1)&gt;0),FALSE))),IF(D43=0,INDEX(LD_RS,C43),INDEX(LD_RS,C43)+D43*(INDEX(LD_RS,C43+1)-INDEX(LD_RS,C43))),NA()))</f>
        <v>9.2</v>
      </c>
      <c r="H43" s="0">
        <f>IF(C43=0,NA(),IF(AND(IF(ISNUMBER(INDEX(LD_RM,C43)),AND(INDEX(LD_RM,C43)&lt;&gt;LD_Null,INDEX(LD_RM,C43)&gt;0),FALSE),OR(D43=0,IF(ISNUMBER(INDEX(LD_RM,C43+1)),AND(INDEX(LD_RM,C43+1)&lt;&gt;LD_Null,INDEX(LD_RM,C43+1)&gt;0),FALSE))),IF(D43=0,INDEX(LD_RM,C43),INDEX(LD_RM,C43)+D43*(INDEX(LD_RM,C43+1)-INDEX(LD_RM,C43))),NA()))</f>
        <v>24.2</v>
      </c>
      <c r="I43" s="0">
        <f>IF(C43=0,NA(),IF(AND(IF(ISNUMBER(INDEX(LD_RD,C43)),AND(INDEX(LD_RD,C43)&lt;&gt;LD_Null,INDEX(LD_RD,C43)&gt;0),FALSE),OR(D43=0,IF(ISNUMBER(INDEX(LD_RD,C43+1)),AND(INDEX(LD_RD,C43+1)&lt;&gt;LD_Null,INDEX(LD_RD,C43+1)&gt;0),FALSE))),IF(D43=0,INDEX(LD_RD,C43),INDEX(LD_RD,C43)+D43*(INDEX(LD_RD,C43+1)-INDEX(LD_RD,C43))),NA()))</f>
        <v>51.2</v>
      </c>
      <c r="J43" s="19">
        <f>IF(ISNUMBER(F43),MAX(0,MIN(1,(F43-LD_GRClean)/(LD_GRShale-LD_GRClean))),NA())</f>
        <v>0.00470588235294116</v>
      </c>
      <c r="K43" s="19">
        <f>IF(ISNUMBER(E43),(MAX(LD_SPMin,MIN(E43,LD_SPBase))-LD_SPMin)/(LD_SPMax-LD_SPMin),NA())</f>
        <v>0.22400000000000006</v>
      </c>
      <c r="L43" s="19">
        <f>IF(ISNUMBER(E43),(LD_SPBase-MAX(LD_SPMin,MIN(E43,LD_SPBase)))/(LD_SPMax-LD_SPMin),NA())</f>
        <v>0.6259999999999999</v>
      </c>
      <c r="M43" s="19">
        <f>IF(ISNUMBER(E43),(MIN(LD_SPMax,MAX(E43,LD_SPBase))-LD_SPBase)/(LD_SPMax-LD_SPMin),NA())</f>
        <v>0</v>
      </c>
      <c r="N43" s="19">
        <f>IF(ISNUMBER(F43),MAX(0,MIN(1,(F43-LD_GRMin)/(LD_GRMax-LD_GRMin))),NA())</f>
        <v>0.20266666666666666</v>
      </c>
      <c r="O43" s="0">
        <f>IF(ISNUMBER(F43),(F43&gt;=LD_GRB1)+(F43&gt;=LD_GRB2)+(F43&gt;=LD_GRB3)+(F43&gt;=LD_GRB4),NA())</f>
        <v>0</v>
      </c>
      <c r="P43" s="19">
        <f>IF(ISNUMBER(O43),IF(O43=0,N43,0),NA())</f>
        <v>0.20266666666666666</v>
      </c>
      <c r="Q43" s="19">
        <f>IF(ISNUMBER(O43),IF(O43=1,N43,0),NA())</f>
        <v>0</v>
      </c>
      <c r="R43" s="19">
        <f>IF(ISNUMBER(O43),IF(O43=2,N43,0),NA())</f>
        <v>0</v>
      </c>
      <c r="S43" s="19">
        <f>IF(ISNUMBER(O43),IF(O43=3,N43,0),NA())</f>
        <v>0</v>
      </c>
      <c r="T43" s="19">
        <f>IF(ISNUMBER(O43),IF(O43=4,N43,0),NA())</f>
        <v>0</v>
      </c>
      <c r="U43" s="19">
        <f>IF(ISNUMBER(G43),MAX(0,MIN(1,(LOG10(G43)-LD_RLog0)/LD_RSpan)),NA())</f>
        <v>0.41568945792039347</v>
      </c>
      <c r="V43" s="19">
        <f>IF(ISNUMBER(H43),MAX(0,MIN(1,(LOG10(H43)-LD_RLog0)/LD_RSpan)),NA())</f>
        <v>0.5206963425791125</v>
      </c>
      <c r="W43" s="19">
        <f>IF(ISNUMBER(I43),MAX(0,MIN(1,(LOG10(I43)-LD_RLog0)/LD_RSpan)),NA())</f>
        <v>0.6020599913279624</v>
      </c>
      <c r="Y43" s="19"/>
      <c r="Z43" s="19"/>
      <c r="AA43" s="19">
        <f>MAX(0,MIN(1,(LD_Dec0+1+LOG10(8)-LD_RLog0)/LD_RSpan))</f>
        <v>0.40051499783199057</v>
      </c>
      <c r="AB43" s="19">
        <v>120.5</v>
      </c>
    </row>
    <row r="44">
      <c r="A44" s="0">
        <v>30</v>
      </c>
      <c r="B44" s="18">
        <f>LD_Top+(A44+0.5)*LD_Step</f>
        <v>5030.5</v>
      </c>
      <c r="C44" s="0">
        <f>IF(OR(LD_N&lt;2,B44&lt;LD_First,B44&gt;LD_Last),0,MIN(MATCH(B44,LD_Depth,1),LD_N-1))</f>
        <v>62</v>
      </c>
      <c r="D44" s="19">
        <f>IF(C44=0,0,(B44-INDEX(LD_Depth,C44))/(INDEX(LD_Depth,C44+1)-INDEX(LD_Depth,C44)))</f>
        <v>0</v>
      </c>
      <c r="E44" s="0">
        <f>IF(C44=0,NA(),IF(AND(IF(ISNUMBER(INDEX(LD_SP,C44)),INDEX(LD_SP,C44)&lt;&gt;LD_Null,FALSE),OR(D44=0,IF(ISNUMBER(INDEX(LD_SP,C44+1)),INDEX(LD_SP,C44+1)&lt;&gt;LD_Null,FALSE))),IF(D44=0,INDEX(LD_SP,C44),INDEX(LD_SP,C44)+D44*(INDEX(LD_SP,C44+1)-INDEX(LD_SP,C44))),NA()))</f>
        <v>-76.4</v>
      </c>
      <c r="F44" s="0">
        <f>IF(C44=0,NA(),IF(AND(IF(ISNUMBER(INDEX(LD_GR,C44)),INDEX(LD_GR,C44)&lt;&gt;LD_Null,FALSE),OR(D44=0,IF(ISNUMBER(INDEX(LD_GR,C44+1)),INDEX(LD_GR,C44+1)&lt;&gt;LD_Null,FALSE))),IF(D44=0,INDEX(LD_GR,C44),INDEX(LD_GR,C44)+D44*(INDEX(LD_GR,C44+1)-INDEX(LD_GR,C44))),NA()))</f>
        <v>33.5</v>
      </c>
      <c r="G44" s="0">
        <f>IF(C44=0,NA(),IF(AND(IF(ISNUMBER(INDEX(LD_RS,C44)),AND(INDEX(LD_RS,C44)&lt;&gt;LD_Null,INDEX(LD_RS,C44)&gt;0),FALSE),OR(D44=0,IF(ISNUMBER(INDEX(LD_RS,C44+1)),AND(INDEX(LD_RS,C44+1)&lt;&gt;LD_Null,INDEX(LD_RS,C44+1)&gt;0),FALSE))),IF(D44=0,INDEX(LD_RS,C44),INDEX(LD_RS,C44)+D44*(INDEX(LD_RS,C44+1)-INDEX(LD_RS,C44))),NA()))</f>
        <v>9.23</v>
      </c>
      <c r="H44" s="0">
        <f>IF(C44=0,NA(),IF(AND(IF(ISNUMBER(INDEX(LD_RM,C44)),AND(INDEX(LD_RM,C44)&lt;&gt;LD_Null,INDEX(LD_RM,C44)&gt;0),FALSE),OR(D44=0,IF(ISNUMBER(INDEX(LD_RM,C44+1)),AND(INDEX(LD_RM,C44+1)&lt;&gt;LD_Null,INDEX(LD_RM,C44+1)&gt;0),FALSE))),IF(D44=0,INDEX(LD_RM,C44),INDEX(LD_RM,C44)+D44*(INDEX(LD_RM,C44+1)-INDEX(LD_RM,C44))),NA()))</f>
        <v>23.4</v>
      </c>
      <c r="I44" s="0">
        <f>IF(C44=0,NA(),IF(AND(IF(ISNUMBER(INDEX(LD_RD,C44)),AND(INDEX(LD_RD,C44)&lt;&gt;LD_Null,INDEX(LD_RD,C44)&gt;0),FALSE),OR(D44=0,IF(ISNUMBER(INDEX(LD_RD,C44+1)),AND(INDEX(LD_RD,C44+1)&lt;&gt;LD_Null,INDEX(LD_RD,C44+1)&gt;0),FALSE))),IF(D44=0,INDEX(LD_RD,C44),INDEX(LD_RD,C44)+D44*(INDEX(LD_RD,C44+1)-INDEX(LD_RD,C44))),NA()))</f>
        <v>41.9</v>
      </c>
      <c r="J44" s="19">
        <f>IF(ISNUMBER(F44),MAX(0,MIN(1,(F44-LD_GRClean)/(LD_GRShale-LD_GRClean))),NA())</f>
        <v>0.041176470588235294</v>
      </c>
      <c r="K44" s="19">
        <f>IF(ISNUMBER(E44),(MAX(LD_SPMin,MIN(E44,LD_SPBase))-LD_SPMin)/(LD_SPMax-LD_SPMin),NA())</f>
        <v>0.23599999999999993</v>
      </c>
      <c r="L44" s="19">
        <f>IF(ISNUMBER(E44),(LD_SPBase-MAX(LD_SPMin,MIN(E44,LD_SPBase)))/(LD_SPMax-LD_SPMin),NA())</f>
        <v>0.6140000000000001</v>
      </c>
      <c r="M44" s="19">
        <f>IF(ISNUMBER(E44),(MIN(LD_SPMax,MAX(E44,LD_SPBase))-LD_SPBase)/(LD_SPMax-LD_SPMin),NA())</f>
        <v>0</v>
      </c>
      <c r="N44" s="19">
        <f>IF(ISNUMBER(F44),MAX(0,MIN(1,(F44-LD_GRMin)/(LD_GRMax-LD_GRMin))),NA())</f>
        <v>0.22333333333333333</v>
      </c>
      <c r="O44" s="0">
        <f>IF(ISNUMBER(F44),(F44&gt;=LD_GRB1)+(F44&gt;=LD_GRB2)+(F44&gt;=LD_GRB3)+(F44&gt;=LD_GRB4),NA())</f>
        <v>0</v>
      </c>
      <c r="P44" s="19">
        <f>IF(ISNUMBER(O44),IF(O44=0,N44,0),NA())</f>
        <v>0.22333333333333333</v>
      </c>
      <c r="Q44" s="19">
        <f>IF(ISNUMBER(O44),IF(O44=1,N44,0),NA())</f>
        <v>0</v>
      </c>
      <c r="R44" s="19">
        <f>IF(ISNUMBER(O44),IF(O44=2,N44,0),NA())</f>
        <v>0</v>
      </c>
      <c r="S44" s="19">
        <f>IF(ISNUMBER(O44),IF(O44=3,N44,0),NA())</f>
        <v>0</v>
      </c>
      <c r="T44" s="19">
        <f>IF(ISNUMBER(O44),IF(O44=4,N44,0),NA())</f>
        <v>0</v>
      </c>
      <c r="U44" s="19">
        <f>IF(ISNUMBER(G44),MAX(0,MIN(1,(LOG10(G44)-LD_RLog0)/LD_RSpan)),NA())</f>
        <v>0.4160429263404827</v>
      </c>
      <c r="V44" s="19">
        <f>IF(ISNUMBER(H44),MAX(0,MIN(1,(LOG10(H44)-LD_RLog0)/LD_RSpan)),NA())</f>
        <v>0.5170464654365403</v>
      </c>
      <c r="W44" s="19">
        <f>IF(ISNUMBER(I44),MAX(0,MIN(1,(LOG10(I44)-LD_RLog0)/LD_RSpan)),NA())</f>
        <v>0.5802960068255785</v>
      </c>
      <c r="Y44" s="19"/>
      <c r="Z44" s="19"/>
      <c r="AA44" s="19">
        <f>MAX(0,MIN(1,(LD_Dec0+1+LOG10(9)-LD_RLog0)/LD_RSpan))</f>
        <v>0.4133031284438359</v>
      </c>
      <c r="AB44" s="19">
        <v>120.5</v>
      </c>
    </row>
    <row r="45">
      <c r="A45" s="0">
        <v>31</v>
      </c>
      <c r="B45" s="18">
        <f>LD_Top+(A45+0.5)*LD_Step</f>
        <v>5031.5</v>
      </c>
      <c r="C45" s="0">
        <f>IF(OR(LD_N&lt;2,B45&lt;LD_First,B45&gt;LD_Last),0,MIN(MATCH(B45,LD_Depth,1),LD_N-1))</f>
        <v>64</v>
      </c>
      <c r="D45" s="19">
        <f>IF(C45=0,0,(B45-INDEX(LD_Depth,C45))/(INDEX(LD_Depth,C45+1)-INDEX(LD_Depth,C45)))</f>
        <v>0</v>
      </c>
      <c r="E45" s="0">
        <f>IF(C45=0,NA(),IF(AND(IF(ISNUMBER(INDEX(LD_SP,C45)),INDEX(LD_SP,C45)&lt;&gt;LD_Null,FALSE),OR(D45=0,IF(ISNUMBER(INDEX(LD_SP,C45+1)),INDEX(LD_SP,C45+1)&lt;&gt;LD_Null,FALSE))),IF(D45=0,INDEX(LD_SP,C45),INDEX(LD_SP,C45)+D45*(INDEX(LD_SP,C45+1)-INDEX(LD_SP,C45))),NA()))</f>
        <v>-75.8</v>
      </c>
      <c r="F45" s="0">
        <f>IF(C45=0,NA(),IF(AND(IF(ISNUMBER(INDEX(LD_GR,C45)),INDEX(LD_GR,C45)&lt;&gt;LD_Null,FALSE),OR(D45=0,IF(ISNUMBER(INDEX(LD_GR,C45+1)),INDEX(LD_GR,C45+1)&lt;&gt;LD_Null,FALSE))),IF(D45=0,INDEX(LD_GR,C45),INDEX(LD_GR,C45)+D45*(INDEX(LD_GR,C45+1)-INDEX(LD_GR,C45))),NA()))</f>
        <v>38.4</v>
      </c>
      <c r="G45" s="0">
        <f>IF(C45=0,NA(),IF(AND(IF(ISNUMBER(INDEX(LD_RS,C45)),AND(INDEX(LD_RS,C45)&lt;&gt;LD_Null,INDEX(LD_RS,C45)&gt;0),FALSE),OR(D45=0,IF(ISNUMBER(INDEX(LD_RS,C45+1)),AND(INDEX(LD_RS,C45+1)&lt;&gt;LD_Null,INDEX(LD_RS,C45+1)&gt;0),FALSE))),IF(D45=0,INDEX(LD_RS,C45),INDEX(LD_RS,C45)+D45*(INDEX(LD_RS,C45+1)-INDEX(LD_RS,C45))),NA()))</f>
        <v>8.04</v>
      </c>
      <c r="H45" s="0">
        <f>IF(C45=0,NA(),IF(AND(IF(ISNUMBER(INDEX(LD_RM,C45)),AND(INDEX(LD_RM,C45)&lt;&gt;LD_Null,INDEX(LD_RM,C45)&gt;0),FALSE),OR(D45=0,IF(ISNUMBER(INDEX(LD_RM,C45+1)),AND(INDEX(LD_RM,C45+1)&lt;&gt;LD_Null,INDEX(LD_RM,C45+1)&gt;0),FALSE))),IF(D45=0,INDEX(LD_RM,C45),INDEX(LD_RM,C45)+D45*(INDEX(LD_RM,C45+1)-INDEX(LD_RM,C45))),NA()))</f>
        <v>20.7</v>
      </c>
      <c r="I45" s="0">
        <f>IF(C45=0,NA(),IF(AND(IF(ISNUMBER(INDEX(LD_RD,C45)),AND(INDEX(LD_RD,C45)&lt;&gt;LD_Null,INDEX(LD_RD,C45)&gt;0),FALSE),OR(D45=0,IF(ISNUMBER(INDEX(LD_RD,C45+1)),AND(INDEX(LD_RD,C45+1)&lt;&gt;LD_Null,INDEX(LD_RD,C45+1)&gt;0),FALSE))),IF(D45=0,INDEX(LD_RD,C45),INDEX(LD_RD,C45)+D45*(INDEX(LD_RD,C45+1)-INDEX(LD_RD,C45))),NA()))</f>
        <v>42.4</v>
      </c>
      <c r="J45" s="19">
        <f>IF(ISNUMBER(F45),MAX(0,MIN(1,(F45-LD_GRClean)/(LD_GRShale-LD_GRClean))),NA())</f>
        <v>0.09882352941176469</v>
      </c>
      <c r="K45" s="19">
        <f>IF(ISNUMBER(E45),(MAX(LD_SPMin,MIN(E45,LD_SPBase))-LD_SPMin)/(LD_SPMax-LD_SPMin),NA())</f>
        <v>0.24200000000000002</v>
      </c>
      <c r="L45" s="19">
        <f>IF(ISNUMBER(E45),(LD_SPBase-MAX(LD_SPMin,MIN(E45,LD_SPBase)))/(LD_SPMax-LD_SPMin),NA())</f>
        <v>0.608</v>
      </c>
      <c r="M45" s="19">
        <f>IF(ISNUMBER(E45),(MIN(LD_SPMax,MAX(E45,LD_SPBase))-LD_SPBase)/(LD_SPMax-LD_SPMin),NA())</f>
        <v>0</v>
      </c>
      <c r="N45" s="19">
        <f>IF(ISNUMBER(F45),MAX(0,MIN(1,(F45-LD_GRMin)/(LD_GRMax-LD_GRMin))),NA())</f>
        <v>0.256</v>
      </c>
      <c r="O45" s="0">
        <f>IF(ISNUMBER(F45),(F45&gt;=LD_GRB1)+(F45&gt;=LD_GRB2)+(F45&gt;=LD_GRB3)+(F45&gt;=LD_GRB4),NA())</f>
        <v>0</v>
      </c>
      <c r="P45" s="19">
        <f>IF(ISNUMBER(O45),IF(O45=0,N45,0),NA())</f>
        <v>0.256</v>
      </c>
      <c r="Q45" s="19">
        <f>IF(ISNUMBER(O45),IF(O45=1,N45,0),NA())</f>
        <v>0</v>
      </c>
      <c r="R45" s="19">
        <f>IF(ISNUMBER(O45),IF(O45=2,N45,0),NA())</f>
        <v>0</v>
      </c>
      <c r="S45" s="19">
        <f>IF(ISNUMBER(O45),IF(O45=3,N45,0),NA())</f>
        <v>0</v>
      </c>
      <c r="T45" s="19">
        <f>IF(ISNUMBER(O45),IF(O45=4,N45,0),NA())</f>
        <v>0</v>
      </c>
      <c r="U45" s="19">
        <f>IF(ISNUMBER(G45),MAX(0,MIN(1,(LOG10(G45)-LD_RLog0)/LD_RSpan)),NA())</f>
        <v>0.40105651327111747</v>
      </c>
      <c r="V45" s="19">
        <f>IF(ISNUMBER(H45),MAX(0,MIN(1,(LOG10(H45)-LD_RLog0)/LD_RSpan)),NA())</f>
        <v>0.5037350874482341</v>
      </c>
      <c r="W45" s="19">
        <f>IF(ISNUMBER(I45),MAX(0,MIN(1,(LOG10(I45)-LD_RLog0)/LD_RSpan)),NA())</f>
        <v>0.5815839652321879</v>
      </c>
      <c r="Y45" s="19"/>
      <c r="Z45" s="19"/>
      <c r="AA45" s="19">
        <f>MAX(0,MIN(1,(LD_Dec0+1+LOG10(9)-LD_RLog0)/LD_RSpan))</f>
        <v>0.4133031284438359</v>
      </c>
      <c r="AB45" s="19">
        <v>-1.5</v>
      </c>
    </row>
    <row r="46">
      <c r="A46" s="0">
        <v>32</v>
      </c>
      <c r="B46" s="18">
        <f>LD_Top+(A46+0.5)*LD_Step</f>
        <v>5032.5</v>
      </c>
      <c r="C46" s="0">
        <f>IF(OR(LD_N&lt;2,B46&lt;LD_First,B46&gt;LD_Last),0,MIN(MATCH(B46,LD_Depth,1),LD_N-1))</f>
        <v>66</v>
      </c>
      <c r="D46" s="19">
        <f>IF(C46=0,0,(B46-INDEX(LD_Depth,C46))/(INDEX(LD_Depth,C46+1)-INDEX(LD_Depth,C46)))</f>
        <v>0</v>
      </c>
      <c r="E46" s="0">
        <f>IF(C46=0,NA(),IF(AND(IF(ISNUMBER(INDEX(LD_SP,C46)),INDEX(LD_SP,C46)&lt;&gt;LD_Null,FALSE),OR(D46=0,IF(ISNUMBER(INDEX(LD_SP,C46+1)),INDEX(LD_SP,C46+1)&lt;&gt;LD_Null,FALSE))),IF(D46=0,INDEX(LD_SP,C46),INDEX(LD_SP,C46)+D46*(INDEX(LD_SP,C46+1)-INDEX(LD_SP,C46))),NA()))</f>
        <v>-69.8</v>
      </c>
      <c r="F46" s="0">
        <f>IF(C46=0,NA(),IF(AND(IF(ISNUMBER(INDEX(LD_GR,C46)),INDEX(LD_GR,C46)&lt;&gt;LD_Null,FALSE),OR(D46=0,IF(ISNUMBER(INDEX(LD_GR,C46+1)),INDEX(LD_GR,C46+1)&lt;&gt;LD_Null,FALSE))),IF(D46=0,INDEX(LD_GR,C46),INDEX(LD_GR,C46)+D46*(INDEX(LD_GR,C46+1)-INDEX(LD_GR,C46))),NA()))</f>
        <v>40.6</v>
      </c>
      <c r="G46" s="0">
        <f>IF(C46=0,NA(),IF(AND(IF(ISNUMBER(INDEX(LD_RS,C46)),AND(INDEX(LD_RS,C46)&lt;&gt;LD_Null,INDEX(LD_RS,C46)&gt;0),FALSE),OR(D46=0,IF(ISNUMBER(INDEX(LD_RS,C46+1)),AND(INDEX(LD_RS,C46+1)&lt;&gt;LD_Null,INDEX(LD_RS,C46+1)&gt;0),FALSE))),IF(D46=0,INDEX(LD_RS,C46),INDEX(LD_RS,C46)+D46*(INDEX(LD_RS,C46+1)-INDEX(LD_RS,C46))),NA()))</f>
        <v>7.1</v>
      </c>
      <c r="H46" s="0">
        <f>IF(C46=0,NA(),IF(AND(IF(ISNUMBER(INDEX(LD_RM,C46)),AND(INDEX(LD_RM,C46)&lt;&gt;LD_Null,INDEX(LD_RM,C46)&gt;0),FALSE),OR(D46=0,IF(ISNUMBER(INDEX(LD_RM,C46+1)),AND(INDEX(LD_RM,C46+1)&lt;&gt;LD_Null,INDEX(LD_RM,C46+1)&gt;0),FALSE))),IF(D46=0,INDEX(LD_RM,C46),INDEX(LD_RM,C46)+D46*(INDEX(LD_RM,C46+1)-INDEX(LD_RM,C46))),NA()))</f>
        <v>17.7</v>
      </c>
      <c r="I46" s="0">
        <f>IF(C46=0,NA(),IF(AND(IF(ISNUMBER(INDEX(LD_RD,C46)),AND(INDEX(LD_RD,C46)&lt;&gt;LD_Null,INDEX(LD_RD,C46)&gt;0),FALSE),OR(D46=0,IF(ISNUMBER(INDEX(LD_RD,C46+1)),AND(INDEX(LD_RD,C46+1)&lt;&gt;LD_Null,INDEX(LD_RD,C46+1)&gt;0),FALSE))),IF(D46=0,INDEX(LD_RD,C46),INDEX(LD_RD,C46)+D46*(INDEX(LD_RD,C46+1)-INDEX(LD_RD,C46))),NA()))</f>
        <v>34.4</v>
      </c>
      <c r="J46" s="19">
        <f>IF(ISNUMBER(F46),MAX(0,MIN(1,(F46-LD_GRClean)/(LD_GRShale-LD_GRClean))),NA())</f>
        <v>0.1247058823529412</v>
      </c>
      <c r="K46" s="19">
        <f>IF(ISNUMBER(E46),(MAX(LD_SPMin,MIN(E46,LD_SPBase))-LD_SPMin)/(LD_SPMax-LD_SPMin),NA())</f>
        <v>0.30200000000000005</v>
      </c>
      <c r="L46" s="19">
        <f>IF(ISNUMBER(E46),(LD_SPBase-MAX(LD_SPMin,MIN(E46,LD_SPBase)))/(LD_SPMax-LD_SPMin),NA())</f>
        <v>0.5479999999999999</v>
      </c>
      <c r="M46" s="19">
        <f>IF(ISNUMBER(E46),(MIN(LD_SPMax,MAX(E46,LD_SPBase))-LD_SPBase)/(LD_SPMax-LD_SPMin),NA())</f>
        <v>0</v>
      </c>
      <c r="N46" s="19">
        <f>IF(ISNUMBER(F46),MAX(0,MIN(1,(F46-LD_GRMin)/(LD_GRMax-LD_GRMin))),NA())</f>
        <v>0.27066666666666667</v>
      </c>
      <c r="O46" s="0">
        <f>IF(ISNUMBER(F46),(F46&gt;=LD_GRB1)+(F46&gt;=LD_GRB2)+(F46&gt;=LD_GRB3)+(F46&gt;=LD_GRB4),NA())</f>
        <v>0</v>
      </c>
      <c r="P46" s="19">
        <f>IF(ISNUMBER(O46),IF(O46=0,N46,0),NA())</f>
        <v>0.27066666666666667</v>
      </c>
      <c r="Q46" s="19">
        <f>IF(ISNUMBER(O46),IF(O46=1,N46,0),NA())</f>
        <v>0</v>
      </c>
      <c r="R46" s="19">
        <f>IF(ISNUMBER(O46),IF(O46=2,N46,0),NA())</f>
        <v>0</v>
      </c>
      <c r="S46" s="19">
        <f>IF(ISNUMBER(O46),IF(O46=3,N46,0),NA())</f>
        <v>0</v>
      </c>
      <c r="T46" s="19">
        <f>IF(ISNUMBER(O46),IF(O46=4,N46,0),NA())</f>
        <v>0</v>
      </c>
      <c r="U46" s="19">
        <f>IF(ISNUMBER(G46),MAX(0,MIN(1,(LOG10(G46)-LD_RLog0)/LD_RSpan)),NA())</f>
        <v>0.3875570882637735</v>
      </c>
      <c r="V46" s="19">
        <f>IF(ISNUMBER(H46),MAX(0,MIN(1,(LOG10(H46)-LD_RLog0)/LD_RSpan)),NA())</f>
        <v>0.48673581767445634</v>
      </c>
      <c r="W46" s="19">
        <f>IF(ISNUMBER(I46),MAX(0,MIN(1,(LOG10(I46)-LD_RLog0)/LD_RSpan)),NA())</f>
        <v>0.5588821117268872</v>
      </c>
      <c r="Y46" s="19"/>
      <c r="Z46" s="19"/>
      <c r="AA46" s="19">
        <f>MAX(0,MIN(1,(LD_Dec0+2+LOG10(2)-LD_RLog0)/LD_RSpan))</f>
        <v>0.5</v>
      </c>
      <c r="AB46" s="19">
        <v>-1.5</v>
      </c>
    </row>
    <row r="47">
      <c r="A47" s="0">
        <v>33</v>
      </c>
      <c r="B47" s="18">
        <f>LD_Top+(A47+0.5)*LD_Step</f>
        <v>5033.5</v>
      </c>
      <c r="C47" s="0">
        <f>IF(OR(LD_N&lt;2,B47&lt;LD_First,B47&gt;LD_Last),0,MIN(MATCH(B47,LD_Depth,1),LD_N-1))</f>
        <v>68</v>
      </c>
      <c r="D47" s="19">
        <f>IF(C47=0,0,(B47-INDEX(LD_Depth,C47))/(INDEX(LD_Depth,C47+1)-INDEX(LD_Depth,C47)))</f>
        <v>0</v>
      </c>
      <c r="E47" s="0">
        <f>IF(C47=0,NA(),IF(AND(IF(ISNUMBER(INDEX(LD_SP,C47)),INDEX(LD_SP,C47)&lt;&gt;LD_Null,FALSE),OR(D47=0,IF(ISNUMBER(INDEX(LD_SP,C47+1)),INDEX(LD_SP,C47+1)&lt;&gt;LD_Null,FALSE))),IF(D47=0,INDEX(LD_SP,C47),INDEX(LD_SP,C47)+D47*(INDEX(LD_SP,C47+1)-INDEX(LD_SP,C47))),NA()))</f>
        <v>-56.3</v>
      </c>
      <c r="F47" s="0">
        <f>IF(C47=0,NA(),IF(AND(IF(ISNUMBER(INDEX(LD_GR,C47)),INDEX(LD_GR,C47)&lt;&gt;LD_Null,FALSE),OR(D47=0,IF(ISNUMBER(INDEX(LD_GR,C47+1)),INDEX(LD_GR,C47+1)&lt;&gt;LD_Null,FALSE))),IF(D47=0,INDEX(LD_GR,C47),INDEX(LD_GR,C47)+D47*(INDEX(LD_GR,C47+1)-INDEX(LD_GR,C47))),NA()))</f>
        <v>59.1</v>
      </c>
      <c r="G47" s="0">
        <f>IF(C47=0,NA(),IF(AND(IF(ISNUMBER(INDEX(LD_RS,C47)),AND(INDEX(LD_RS,C47)&lt;&gt;LD_Null,INDEX(LD_RS,C47)&gt;0),FALSE),OR(D47=0,IF(ISNUMBER(INDEX(LD_RS,C47+1)),AND(INDEX(LD_RS,C47+1)&lt;&gt;LD_Null,INDEX(LD_RS,C47+1)&gt;0),FALSE))),IF(D47=0,INDEX(LD_RS,C47),INDEX(LD_RS,C47)+D47*(INDEX(LD_RS,C47+1)-INDEX(LD_RS,C47))),NA()))</f>
        <v>5.83</v>
      </c>
      <c r="H47" s="0">
        <f>IF(C47=0,NA(),IF(AND(IF(ISNUMBER(INDEX(LD_RM,C47)),AND(INDEX(LD_RM,C47)&lt;&gt;LD_Null,INDEX(LD_RM,C47)&gt;0),FALSE),OR(D47=0,IF(ISNUMBER(INDEX(LD_RM,C47+1)),AND(INDEX(LD_RM,C47+1)&lt;&gt;LD_Null,INDEX(LD_RM,C47+1)&gt;0),FALSE))),IF(D47=0,INDEX(LD_RM,C47),INDEX(LD_RM,C47)+D47*(INDEX(LD_RM,C47+1)-INDEX(LD_RM,C47))),NA()))</f>
        <v>10.9</v>
      </c>
      <c r="I47" s="0">
        <f>IF(C47=0,NA(),IF(AND(IF(ISNUMBER(INDEX(LD_RD,C47)),AND(INDEX(LD_RD,C47)&lt;&gt;LD_Null,INDEX(LD_RD,C47)&gt;0),FALSE),OR(D47=0,IF(ISNUMBER(INDEX(LD_RD,C47+1)),AND(INDEX(LD_RD,C47+1)&lt;&gt;LD_Null,INDEX(LD_RD,C47+1)&gt;0),FALSE))),IF(D47=0,INDEX(LD_RD,C47),INDEX(LD_RD,C47)+D47*(INDEX(LD_RD,C47+1)-INDEX(LD_RD,C47))),NA()))</f>
        <v>16.6</v>
      </c>
      <c r="J47" s="19">
        <f>IF(ISNUMBER(F47),MAX(0,MIN(1,(F47-LD_GRClean)/(LD_GRShale-LD_GRClean))),NA())</f>
        <v>0.3423529411764706</v>
      </c>
      <c r="K47" s="19">
        <f>IF(ISNUMBER(E47),(MAX(LD_SPMin,MIN(E47,LD_SPBase))-LD_SPMin)/(LD_SPMax-LD_SPMin),NA())</f>
        <v>0.43700000000000006</v>
      </c>
      <c r="L47" s="19">
        <f>IF(ISNUMBER(E47),(LD_SPBase-MAX(LD_SPMin,MIN(E47,LD_SPBase)))/(LD_SPMax-LD_SPMin),NA())</f>
        <v>0.413</v>
      </c>
      <c r="M47" s="19">
        <f>IF(ISNUMBER(E47),(MIN(LD_SPMax,MAX(E47,LD_SPBase))-LD_SPBase)/(LD_SPMax-LD_SPMin),NA())</f>
        <v>0</v>
      </c>
      <c r="N47" s="19">
        <f>IF(ISNUMBER(F47),MAX(0,MIN(1,(F47-LD_GRMin)/(LD_GRMax-LD_GRMin))),NA())</f>
        <v>0.394</v>
      </c>
      <c r="O47" s="0">
        <f>IF(ISNUMBER(F47),(F47&gt;=LD_GRB1)+(F47&gt;=LD_GRB2)+(F47&gt;=LD_GRB3)+(F47&gt;=LD_GRB4),NA())</f>
        <v>1</v>
      </c>
      <c r="P47" s="19">
        <f>IF(ISNUMBER(O47),IF(O47=0,N47,0),NA())</f>
        <v>0</v>
      </c>
      <c r="Q47" s="19">
        <f>IF(ISNUMBER(O47),IF(O47=1,N47,0),NA())</f>
        <v>0.394</v>
      </c>
      <c r="R47" s="19">
        <f>IF(ISNUMBER(O47),IF(O47=2,N47,0),NA())</f>
        <v>0</v>
      </c>
      <c r="S47" s="19">
        <f>IF(ISNUMBER(O47),IF(O47=3,N47,0),NA())</f>
        <v>0</v>
      </c>
      <c r="T47" s="19">
        <f>IF(ISNUMBER(O47),IF(O47=4,N47,0),NA())</f>
        <v>0</v>
      </c>
      <c r="U47" s="19">
        <f>IF(ISNUMBER(G47),MAX(0,MIN(1,(LOG10(G47)-LD_RLog0)/LD_RSpan)),NA())</f>
        <v>0.3661596397737582</v>
      </c>
      <c r="V47" s="19">
        <f>IF(ISNUMBER(H47),MAX(0,MIN(1,(LOG10(H47)-LD_RLog0)/LD_RSpan)),NA())</f>
        <v>0.4340991255691606</v>
      </c>
      <c r="W47" s="19">
        <f>IF(ISNUMBER(I47),MAX(0,MIN(1,(LOG10(I47)-LD_RLog0)/LD_RSpan)),NA())</f>
        <v>0.4797695230940185</v>
      </c>
      <c r="Y47" s="19"/>
      <c r="Z47" s="19"/>
      <c r="AA47" s="19">
        <f>MAX(0,MIN(1,(LD_Dec0+2+LOG10(2)-LD_RLog0)/LD_RSpan))</f>
        <v>0.5</v>
      </c>
      <c r="AB47" s="19">
        <v>120.5</v>
      </c>
    </row>
    <row r="48">
      <c r="A48" s="0">
        <v>34</v>
      </c>
      <c r="B48" s="18">
        <f>LD_Top+(A48+0.5)*LD_Step</f>
        <v>5034.5</v>
      </c>
      <c r="C48" s="0">
        <f>IF(OR(LD_N&lt;2,B48&lt;LD_First,B48&gt;LD_Last),0,MIN(MATCH(B48,LD_Depth,1),LD_N-1))</f>
        <v>70</v>
      </c>
      <c r="D48" s="19">
        <f>IF(C48=0,0,(B48-INDEX(LD_Depth,C48))/(INDEX(LD_Depth,C48+1)-INDEX(LD_Depth,C48)))</f>
        <v>0</v>
      </c>
      <c r="E48" s="0">
        <f>IF(C48=0,NA(),IF(AND(IF(ISNUMBER(INDEX(LD_SP,C48)),INDEX(LD_SP,C48)&lt;&gt;LD_Null,FALSE),OR(D48=0,IF(ISNUMBER(INDEX(LD_SP,C48+1)),INDEX(LD_SP,C48+1)&lt;&gt;LD_Null,FALSE))),IF(D48=0,INDEX(LD_SP,C48),INDEX(LD_SP,C48)+D48*(INDEX(LD_SP,C48+1)-INDEX(LD_SP,C48))),NA()))</f>
        <v>-36.2</v>
      </c>
      <c r="F48" s="0">
        <f>IF(C48=0,NA(),IF(AND(IF(ISNUMBER(INDEX(LD_GR,C48)),INDEX(LD_GR,C48)&lt;&gt;LD_Null,FALSE),OR(D48=0,IF(ISNUMBER(INDEX(LD_GR,C48+1)),INDEX(LD_GR,C48+1)&lt;&gt;LD_Null,FALSE))),IF(D48=0,INDEX(LD_GR,C48),INDEX(LD_GR,C48)+D48*(INDEX(LD_GR,C48+1)-INDEX(LD_GR,C48))),NA()))</f>
        <v>89.3</v>
      </c>
      <c r="G48" s="0">
        <f>IF(C48=0,NA(),IF(AND(IF(ISNUMBER(INDEX(LD_RS,C48)),AND(INDEX(LD_RS,C48)&lt;&gt;LD_Null,INDEX(LD_RS,C48)&gt;0),FALSE),OR(D48=0,IF(ISNUMBER(INDEX(LD_RS,C48+1)),AND(INDEX(LD_RS,C48+1)&lt;&gt;LD_Null,INDEX(LD_RS,C48+1)&gt;0),FALSE))),IF(D48=0,INDEX(LD_RS,C48),INDEX(LD_RS,C48)+D48*(INDEX(LD_RS,C48+1)-INDEX(LD_RS,C48))),NA()))</f>
        <v>3.28</v>
      </c>
      <c r="H48" s="0">
        <f>IF(C48=0,NA(),IF(AND(IF(ISNUMBER(INDEX(LD_RM,C48)),AND(INDEX(LD_RM,C48)&lt;&gt;LD_Null,INDEX(LD_RM,C48)&gt;0),FALSE),OR(D48=0,IF(ISNUMBER(INDEX(LD_RM,C48+1)),AND(INDEX(LD_RM,C48+1)&lt;&gt;LD_Null,INDEX(LD_RM,C48+1)&gt;0),FALSE))),IF(D48=0,INDEX(LD_RM,C48),INDEX(LD_RM,C48)+D48*(INDEX(LD_RM,C48+1)-INDEX(LD_RM,C48))),NA()))</f>
        <v>5.05</v>
      </c>
      <c r="I48" s="0">
        <f>IF(C48=0,NA(),IF(AND(IF(ISNUMBER(INDEX(LD_RD,C48)),AND(INDEX(LD_RD,C48)&lt;&gt;LD_Null,INDEX(LD_RD,C48)&gt;0),FALSE),OR(D48=0,IF(ISNUMBER(INDEX(LD_RD,C48+1)),AND(INDEX(LD_RD,C48+1)&lt;&gt;LD_Null,INDEX(LD_RD,C48+1)&gt;0),FALSE))),IF(D48=0,INDEX(LD_RD,C48),INDEX(LD_RD,C48)+D48*(INDEX(LD_RD,C48+1)-INDEX(LD_RD,C48))),NA()))</f>
        <v>6.56</v>
      </c>
      <c r="J48" s="19">
        <f>IF(ISNUMBER(F48),MAX(0,MIN(1,(F48-LD_GRClean)/(LD_GRShale-LD_GRClean))),NA())</f>
        <v>0.6976470588235294</v>
      </c>
      <c r="K48" s="19">
        <f>IF(ISNUMBER(E48),(MAX(LD_SPMin,MIN(E48,LD_SPBase))-LD_SPMin)/(LD_SPMax-LD_SPMin),NA())</f>
        <v>0.638</v>
      </c>
      <c r="L48" s="19">
        <f>IF(ISNUMBER(E48),(LD_SPBase-MAX(LD_SPMin,MIN(E48,LD_SPBase)))/(LD_SPMax-LD_SPMin),NA())</f>
        <v>0.21200000000000002</v>
      </c>
      <c r="M48" s="19">
        <f>IF(ISNUMBER(E48),(MIN(LD_SPMax,MAX(E48,LD_SPBase))-LD_SPBase)/(LD_SPMax-LD_SPMin),NA())</f>
        <v>0</v>
      </c>
      <c r="N48" s="19">
        <f>IF(ISNUMBER(F48),MAX(0,MIN(1,(F48-LD_GRMin)/(LD_GRMax-LD_GRMin))),NA())</f>
        <v>0.5953333333333333</v>
      </c>
      <c r="O48" s="0">
        <f>IF(ISNUMBER(F48),(F48&gt;=LD_GRB1)+(F48&gt;=LD_GRB2)+(F48&gt;=LD_GRB3)+(F48&gt;=LD_GRB4),NA())</f>
        <v>3</v>
      </c>
      <c r="P48" s="19">
        <f>IF(ISNUMBER(O48),IF(O48=0,N48,0),NA())</f>
        <v>0</v>
      </c>
      <c r="Q48" s="19">
        <f>IF(ISNUMBER(O48),IF(O48=1,N48,0),NA())</f>
        <v>0</v>
      </c>
      <c r="R48" s="19">
        <f>IF(ISNUMBER(O48),IF(O48=2,N48,0),NA())</f>
        <v>0</v>
      </c>
      <c r="S48" s="19">
        <f>IF(ISNUMBER(O48),IF(O48=3,N48,0),NA())</f>
        <v>0.5953333333333333</v>
      </c>
      <c r="T48" s="19">
        <f>IF(ISNUMBER(O48),IF(O48=4,N48,0),NA())</f>
        <v>0</v>
      </c>
      <c r="U48" s="19">
        <f>IF(ISNUMBER(G48),MAX(0,MIN(1,(LOG10(G48)-LD_RLog0)/LD_RSpan)),NA())</f>
        <v>0.30371096201192443</v>
      </c>
      <c r="V48" s="19">
        <f>IF(ISNUMBER(H48),MAX(0,MIN(1,(LOG10(H48)-LD_RLog0)/LD_RSpan)),NA())</f>
        <v>0.35056534561367003</v>
      </c>
      <c r="W48" s="19">
        <f>IF(ISNUMBER(I48),MAX(0,MIN(1,(LOG10(I48)-LD_RLog0)/LD_RSpan)),NA())</f>
        <v>0.37896846092791975</v>
      </c>
      <c r="Y48" s="19"/>
      <c r="Z48" s="19"/>
      <c r="AA48" s="19">
        <f>MAX(0,MIN(1,(LD_Dec0+2+LOG10(3)-LD_RLog0)/LD_RSpan))</f>
        <v>0.5440228147639203</v>
      </c>
      <c r="AB48" s="19">
        <v>120.5</v>
      </c>
    </row>
    <row r="49">
      <c r="A49" s="0">
        <v>35</v>
      </c>
      <c r="B49" s="18">
        <f>LD_Top+(A49+0.5)*LD_Step</f>
        <v>5035.5</v>
      </c>
      <c r="C49" s="0">
        <f>IF(OR(LD_N&lt;2,B49&lt;LD_First,B49&gt;LD_Last),0,MIN(MATCH(B49,LD_Depth,1),LD_N-1))</f>
        <v>72</v>
      </c>
      <c r="D49" s="19">
        <f>IF(C49=0,0,(B49-INDEX(LD_Depth,C49))/(INDEX(LD_Depth,C49+1)-INDEX(LD_Depth,C49)))</f>
        <v>0</v>
      </c>
      <c r="E49" s="0">
        <f>IF(C49=0,NA(),IF(AND(IF(ISNUMBER(INDEX(LD_SP,C49)),INDEX(LD_SP,C49)&lt;&gt;LD_Null,FALSE),OR(D49=0,IF(ISNUMBER(INDEX(LD_SP,C49+1)),INDEX(LD_SP,C49+1)&lt;&gt;LD_Null,FALSE))),IF(D49=0,INDEX(LD_SP,C49),INDEX(LD_SP,C49)+D49*(INDEX(LD_SP,C49+1)-INDEX(LD_SP,C49))),NA()))</f>
        <v>-23.8</v>
      </c>
      <c r="F49" s="0">
        <f>IF(C49=0,NA(),IF(AND(IF(ISNUMBER(INDEX(LD_GR,C49)),INDEX(LD_GR,C49)&lt;&gt;LD_Null,FALSE),OR(D49=0,IF(ISNUMBER(INDEX(LD_GR,C49+1)),INDEX(LD_GR,C49+1)&lt;&gt;LD_Null,FALSE))),IF(D49=0,INDEX(LD_GR,C49),INDEX(LD_GR,C49)+D49*(INDEX(LD_GR,C49+1)-INDEX(LD_GR,C49))),NA()))</f>
        <v>104.1</v>
      </c>
      <c r="G49" s="0">
        <f>IF(C49=0,NA(),IF(AND(IF(ISNUMBER(INDEX(LD_RS,C49)),AND(INDEX(LD_RS,C49)&lt;&gt;LD_Null,INDEX(LD_RS,C49)&gt;0),FALSE),OR(D49=0,IF(ISNUMBER(INDEX(LD_RS,C49+1)),AND(INDEX(LD_RS,C49+1)&lt;&gt;LD_Null,INDEX(LD_RS,C49+1)&gt;0),FALSE))),IF(D49=0,INDEX(LD_RS,C49),INDEX(LD_RS,C49)+D49*(INDEX(LD_RS,C49+1)-INDEX(LD_RS,C49))),NA()))</f>
        <v>2.35</v>
      </c>
      <c r="H49" s="0">
        <f>IF(C49=0,NA(),IF(AND(IF(ISNUMBER(INDEX(LD_RM,C49)),AND(INDEX(LD_RM,C49)&lt;&gt;LD_Null,INDEX(LD_RM,C49)&gt;0),FALSE),OR(D49=0,IF(ISNUMBER(INDEX(LD_RM,C49+1)),AND(INDEX(LD_RM,C49+1)&lt;&gt;LD_Null,INDEX(LD_RM,C49+1)&gt;0),FALSE))),IF(D49=0,INDEX(LD_RM,C49),INDEX(LD_RM,C49)+D49*(INDEX(LD_RM,C49+1)-INDEX(LD_RM,C49))),NA()))</f>
        <v>2.78</v>
      </c>
      <c r="I49" s="0">
        <f>IF(C49=0,NA(),IF(AND(IF(ISNUMBER(INDEX(LD_RD,C49)),AND(INDEX(LD_RD,C49)&lt;&gt;LD_Null,INDEX(LD_RD,C49)&gt;0),FALSE),OR(D49=0,IF(ISNUMBER(INDEX(LD_RD,C49+1)),AND(INDEX(LD_RD,C49+1)&lt;&gt;LD_Null,INDEX(LD_RD,C49+1)&gt;0),FALSE))),IF(D49=0,INDEX(LD_RD,C49),INDEX(LD_RD,C49)+D49*(INDEX(LD_RD,C49+1)-INDEX(LD_RD,C49))),NA()))</f>
        <v>3.64</v>
      </c>
      <c r="J49" s="19">
        <f>IF(ISNUMBER(F49),MAX(0,MIN(1,(F49-LD_GRClean)/(LD_GRShale-LD_GRClean))),NA())</f>
        <v>0.8717647058823529</v>
      </c>
      <c r="K49" s="19">
        <f>IF(ISNUMBER(E49),(MAX(LD_SPMin,MIN(E49,LD_SPBase))-LD_SPMin)/(LD_SPMax-LD_SPMin),NA())</f>
        <v>0.762</v>
      </c>
      <c r="L49" s="19">
        <f>IF(ISNUMBER(E49),(LD_SPBase-MAX(LD_SPMin,MIN(E49,LD_SPBase)))/(LD_SPMax-LD_SPMin),NA())</f>
        <v>0.08800000000000001</v>
      </c>
      <c r="M49" s="19">
        <f>IF(ISNUMBER(E49),(MIN(LD_SPMax,MAX(E49,LD_SPBase))-LD_SPBase)/(LD_SPMax-LD_SPMin),NA())</f>
        <v>0</v>
      </c>
      <c r="N49" s="19">
        <f>IF(ISNUMBER(F49),MAX(0,MIN(1,(F49-LD_GRMin)/(LD_GRMax-LD_GRMin))),NA())</f>
        <v>0.694</v>
      </c>
      <c r="O49" s="0">
        <f>IF(ISNUMBER(F49),(F49&gt;=LD_GRB1)+(F49&gt;=LD_GRB2)+(F49&gt;=LD_GRB3)+(F49&gt;=LD_GRB4),NA())</f>
        <v>3</v>
      </c>
      <c r="P49" s="19">
        <f>IF(ISNUMBER(O49),IF(O49=0,N49,0),NA())</f>
        <v>0</v>
      </c>
      <c r="Q49" s="19">
        <f>IF(ISNUMBER(O49),IF(O49=1,N49,0),NA())</f>
        <v>0</v>
      </c>
      <c r="R49" s="19">
        <f>IF(ISNUMBER(O49),IF(O49=2,N49,0),NA())</f>
        <v>0</v>
      </c>
      <c r="S49" s="19">
        <f>IF(ISNUMBER(O49),IF(O49=3,N49,0),NA())</f>
        <v>0.694</v>
      </c>
      <c r="T49" s="19">
        <f>IF(ISNUMBER(O49),IF(O49=4,N49,0),NA())</f>
        <v>0</v>
      </c>
      <c r="U49" s="19">
        <f>IF(ISNUMBER(G49),MAX(0,MIN(1,(LOG10(G49)-LD_RLog0)/LD_RSpan)),NA())</f>
        <v>0.26750946665193875</v>
      </c>
      <c r="V49" s="19">
        <f>IF(ISNUMBER(H49),MAX(0,MIN(1,(LOG10(H49)-LD_RLog0)/LD_RSpan)),NA())</f>
        <v>0.28575370006352374</v>
      </c>
      <c r="W49" s="19">
        <f>IF(ISNUMBER(I49),MAX(0,MIN(1,(LOG10(I49)-LD_RLog0)/LD_RSpan)),NA())</f>
        <v>0.31501784699626867</v>
      </c>
      <c r="Y49" s="19"/>
      <c r="Z49" s="19"/>
      <c r="AA49" s="19">
        <f>MAX(0,MIN(1,(LD_Dec0+2+LOG10(3)-LD_RLog0)/LD_RSpan))</f>
        <v>0.5440228147639203</v>
      </c>
      <c r="AB49" s="19">
        <v>-1.5</v>
      </c>
    </row>
    <row r="50">
      <c r="A50" s="0">
        <v>36</v>
      </c>
      <c r="B50" s="18">
        <f>LD_Top+(A50+0.5)*LD_Step</f>
        <v>5036.5</v>
      </c>
      <c r="C50" s="0">
        <f>IF(OR(LD_N&lt;2,B50&lt;LD_First,B50&gt;LD_Last),0,MIN(MATCH(B50,LD_Depth,1),LD_N-1))</f>
        <v>74</v>
      </c>
      <c r="D50" s="19">
        <f>IF(C50=0,0,(B50-INDEX(LD_Depth,C50))/(INDEX(LD_Depth,C50+1)-INDEX(LD_Depth,C50)))</f>
        <v>0</v>
      </c>
      <c r="E50" s="0">
        <f>IF(C50=0,NA(),IF(AND(IF(ISNUMBER(INDEX(LD_SP,C50)),INDEX(LD_SP,C50)&lt;&gt;LD_Null,FALSE),OR(D50=0,IF(ISNUMBER(INDEX(LD_SP,C50+1)),INDEX(LD_SP,C50+1)&lt;&gt;LD_Null,FALSE))),IF(D50=0,INDEX(LD_SP,C50),INDEX(LD_SP,C50)+D50*(INDEX(LD_SP,C50+1)-INDEX(LD_SP,C50))),NA()))</f>
        <v>-18.9</v>
      </c>
      <c r="F50" s="0">
        <f>IF(C50=0,NA(),IF(AND(IF(ISNUMBER(INDEX(LD_GR,C50)),INDEX(LD_GR,C50)&lt;&gt;LD_Null,FALSE),OR(D50=0,IF(ISNUMBER(INDEX(LD_GR,C50+1)),INDEX(LD_GR,C50+1)&lt;&gt;LD_Null,FALSE))),IF(D50=0,INDEX(LD_GR,C50),INDEX(LD_GR,C50)+D50*(INDEX(LD_GR,C50+1)-INDEX(LD_GR,C50))),NA()))</f>
        <v>107.2</v>
      </c>
      <c r="G50" s="0">
        <f>IF(C50=0,NA(),IF(AND(IF(ISNUMBER(INDEX(LD_RS,C50)),AND(INDEX(LD_RS,C50)&lt;&gt;LD_Null,INDEX(LD_RS,C50)&gt;0),FALSE),OR(D50=0,IF(ISNUMBER(INDEX(LD_RS,C50+1)),AND(INDEX(LD_RS,C50+1)&lt;&gt;LD_Null,INDEX(LD_RS,C50+1)&gt;0),FALSE))),IF(D50=0,INDEX(LD_RS,C50),INDEX(LD_RS,C50)+D50*(INDEX(LD_RS,C50+1)-INDEX(LD_RS,C50))),NA()))</f>
        <v>2.22</v>
      </c>
      <c r="H50" s="0">
        <f>IF(C50=0,NA(),IF(AND(IF(ISNUMBER(INDEX(LD_RM,C50)),AND(INDEX(LD_RM,C50)&lt;&gt;LD_Null,INDEX(LD_RM,C50)&gt;0),FALSE),OR(D50=0,IF(ISNUMBER(INDEX(LD_RM,C50+1)),AND(INDEX(LD_RM,C50+1)&lt;&gt;LD_Null,INDEX(LD_RM,C50+1)&gt;0),FALSE))),IF(D50=0,INDEX(LD_RM,C50),INDEX(LD_RM,C50)+D50*(INDEX(LD_RM,C50+1)-INDEX(LD_RM,C50))),NA()))</f>
        <v>2.69</v>
      </c>
      <c r="I50" s="0">
        <f>IF(C50=0,NA(),IF(AND(IF(ISNUMBER(INDEX(LD_RD,C50)),AND(INDEX(LD_RD,C50)&lt;&gt;LD_Null,INDEX(LD_RD,C50)&gt;0),FALSE),OR(D50=0,IF(ISNUMBER(INDEX(LD_RD,C50+1)),AND(INDEX(LD_RD,C50+1)&lt;&gt;LD_Null,INDEX(LD_RD,C50+1)&gt;0),FALSE))),IF(D50=0,INDEX(LD_RD,C50),INDEX(LD_RD,C50)+D50*(INDEX(LD_RD,C50+1)-INDEX(LD_RD,C50))),NA()))</f>
        <v>2.88</v>
      </c>
      <c r="J50" s="19">
        <f>IF(ISNUMBER(F50),MAX(0,MIN(1,(F50-LD_GRClean)/(LD_GRShale-LD_GRClean))),NA())</f>
        <v>0.9082352941176471</v>
      </c>
      <c r="K50" s="19">
        <f>IF(ISNUMBER(E50),(MAX(LD_SPMin,MIN(E50,LD_SPBase))-LD_SPMin)/(LD_SPMax-LD_SPMin),NA())</f>
        <v>0.8109999999999999</v>
      </c>
      <c r="L50" s="19">
        <f>IF(ISNUMBER(E50),(LD_SPBase-MAX(LD_SPMin,MIN(E50,LD_SPBase)))/(LD_SPMax-LD_SPMin),NA())</f>
        <v>0.038999999999999986</v>
      </c>
      <c r="M50" s="19">
        <f>IF(ISNUMBER(E50),(MIN(LD_SPMax,MAX(E50,LD_SPBase))-LD_SPBase)/(LD_SPMax-LD_SPMin),NA())</f>
        <v>0</v>
      </c>
      <c r="N50" s="19">
        <f>IF(ISNUMBER(F50),MAX(0,MIN(1,(F50-LD_GRMin)/(LD_GRMax-LD_GRMin))),NA())</f>
        <v>0.7146666666666667</v>
      </c>
      <c r="O50" s="0">
        <f>IF(ISNUMBER(F50),(F50&gt;=LD_GRB1)+(F50&gt;=LD_GRB2)+(F50&gt;=LD_GRB3)+(F50&gt;=LD_GRB4),NA())</f>
        <v>4</v>
      </c>
      <c r="P50" s="19">
        <f>IF(ISNUMBER(O50),IF(O50=0,N50,0),NA())</f>
        <v>0</v>
      </c>
      <c r="Q50" s="19">
        <f>IF(ISNUMBER(O50),IF(O50=1,N50,0),NA())</f>
        <v>0</v>
      </c>
      <c r="R50" s="19">
        <f>IF(ISNUMBER(O50),IF(O50=2,N50,0),NA())</f>
        <v>0</v>
      </c>
      <c r="S50" s="19">
        <f>IF(ISNUMBER(O50),IF(O50=3,N50,0),NA())</f>
        <v>0</v>
      </c>
      <c r="T50" s="19">
        <f>IF(ISNUMBER(O50),IF(O50=4,N50,0),NA())</f>
        <v>0.7146666666666667</v>
      </c>
      <c r="U50" s="19">
        <f>IF(ISNUMBER(G50),MAX(0,MIN(1,(LOG10(G50)-LD_RLog0)/LD_RSpan)),NA())</f>
        <v>0.26133074469666434</v>
      </c>
      <c r="V50" s="19">
        <f>IF(ISNUMBER(H50),MAX(0,MIN(1,(LOG10(H50)-LD_RLog0)/LD_RSpan)),NA())</f>
        <v>0.2821805710846067</v>
      </c>
      <c r="W50" s="19">
        <f>IF(ISNUMBER(I50),MAX(0,MIN(1,(LOG10(I50)-LD_RLog0)/LD_RSpan)),NA())</f>
        <v>0.2895906230238124</v>
      </c>
      <c r="Y50" s="19"/>
      <c r="Z50" s="19"/>
      <c r="AA50" s="19">
        <f>MAX(0,MIN(1,(LD_Dec0+2+LOG10(4)-LD_RLog0)/LD_RSpan))</f>
        <v>0.5752574989159953</v>
      </c>
      <c r="AB50" s="19">
        <v>-1.5</v>
      </c>
    </row>
    <row r="51">
      <c r="A51" s="0">
        <v>37</v>
      </c>
      <c r="B51" s="18">
        <f>LD_Top+(A51+0.5)*LD_Step</f>
        <v>5037.5</v>
      </c>
      <c r="C51" s="0">
        <f>IF(OR(LD_N&lt;2,B51&lt;LD_First,B51&gt;LD_Last),0,MIN(MATCH(B51,LD_Depth,1),LD_N-1))</f>
        <v>76</v>
      </c>
      <c r="D51" s="19">
        <f>IF(C51=0,0,(B51-INDEX(LD_Depth,C51))/(INDEX(LD_Depth,C51+1)-INDEX(LD_Depth,C51)))</f>
        <v>0</v>
      </c>
      <c r="E51" s="0">
        <f>IF(C51=0,NA(),IF(AND(IF(ISNUMBER(INDEX(LD_SP,C51)),INDEX(LD_SP,C51)&lt;&gt;LD_Null,FALSE),OR(D51=0,IF(ISNUMBER(INDEX(LD_SP,C51+1)),INDEX(LD_SP,C51+1)&lt;&gt;LD_Null,FALSE))),IF(D51=0,INDEX(LD_SP,C51),INDEX(LD_SP,C51)+D51*(INDEX(LD_SP,C51+1)-INDEX(LD_SP,C51))),NA()))</f>
        <v>-16.9</v>
      </c>
      <c r="F51" s="0">
        <f>IF(C51=0,NA(),IF(AND(IF(ISNUMBER(INDEX(LD_GR,C51)),INDEX(LD_GR,C51)&lt;&gt;LD_Null,FALSE),OR(D51=0,IF(ISNUMBER(INDEX(LD_GR,C51+1)),INDEX(LD_GR,C51+1)&lt;&gt;LD_Null,FALSE))),IF(D51=0,INDEX(LD_GR,C51),INDEX(LD_GR,C51)+D51*(INDEX(LD_GR,C51+1)-INDEX(LD_GR,C51))),NA()))</f>
        <v>113.8</v>
      </c>
      <c r="G51" s="0">
        <f>IF(C51=0,NA(),IF(AND(IF(ISNUMBER(INDEX(LD_RS,C51)),AND(INDEX(LD_RS,C51)&lt;&gt;LD_Null,INDEX(LD_RS,C51)&gt;0),FALSE),OR(D51=0,IF(ISNUMBER(INDEX(LD_RS,C51+1)),AND(INDEX(LD_RS,C51+1)&lt;&gt;LD_Null,INDEX(LD_RS,C51+1)&gt;0),FALSE))),IF(D51=0,INDEX(LD_RS,C51),INDEX(LD_RS,C51)+D51*(INDEX(LD_RS,C51+1)-INDEX(LD_RS,C51))),NA()))</f>
        <v>2.22</v>
      </c>
      <c r="H51" s="0">
        <f>IF(C51=0,NA(),IF(AND(IF(ISNUMBER(INDEX(LD_RM,C51)),AND(INDEX(LD_RM,C51)&lt;&gt;LD_Null,INDEX(LD_RM,C51)&gt;0),FALSE),OR(D51=0,IF(ISNUMBER(INDEX(LD_RM,C51+1)),AND(INDEX(LD_RM,C51+1)&lt;&gt;LD_Null,INDEX(LD_RM,C51+1)&gt;0),FALSE))),IF(D51=0,INDEX(LD_RM,C51),INDEX(LD_RM,C51)+D51*(INDEX(LD_RM,C51+1)-INDEX(LD_RM,C51))),NA()))</f>
        <v>2.52</v>
      </c>
      <c r="I51" s="0">
        <f>IF(C51=0,NA(),IF(AND(IF(ISNUMBER(INDEX(LD_RD,C51)),AND(INDEX(LD_RD,C51)&lt;&gt;LD_Null,INDEX(LD_RD,C51)&gt;0),FALSE),OR(D51=0,IF(ISNUMBER(INDEX(LD_RD,C51+1)),AND(INDEX(LD_RD,C51+1)&lt;&gt;LD_Null,INDEX(LD_RD,C51+1)&gt;0),FALSE))),IF(D51=0,INDEX(LD_RD,C51),INDEX(LD_RD,C51)+D51*(INDEX(LD_RD,C51+1)-INDEX(LD_RD,C51))),NA()))</f>
        <v>2.73</v>
      </c>
      <c r="J51" s="19">
        <f>IF(ISNUMBER(F51),MAX(0,MIN(1,(F51-LD_GRClean)/(LD_GRShale-LD_GRClean))),NA())</f>
        <v>0.9858823529411764</v>
      </c>
      <c r="K51" s="19">
        <f>IF(ISNUMBER(E51),(MAX(LD_SPMin,MIN(E51,LD_SPBase))-LD_SPMin)/(LD_SPMax-LD_SPMin),NA())</f>
        <v>0.831</v>
      </c>
      <c r="L51" s="19">
        <f>IF(ISNUMBER(E51),(LD_SPBase-MAX(LD_SPMin,MIN(E51,LD_SPBase)))/(LD_SPMax-LD_SPMin),NA())</f>
        <v>0.018999999999999986</v>
      </c>
      <c r="M51" s="19">
        <f>IF(ISNUMBER(E51),(MIN(LD_SPMax,MAX(E51,LD_SPBase))-LD_SPBase)/(LD_SPMax-LD_SPMin),NA())</f>
        <v>0</v>
      </c>
      <c r="N51" s="19">
        <f>IF(ISNUMBER(F51),MAX(0,MIN(1,(F51-LD_GRMin)/(LD_GRMax-LD_GRMin))),NA())</f>
        <v>0.7586666666666666</v>
      </c>
      <c r="O51" s="0">
        <f>IF(ISNUMBER(F51),(F51&gt;=LD_GRB1)+(F51&gt;=LD_GRB2)+(F51&gt;=LD_GRB3)+(F51&gt;=LD_GRB4),NA())</f>
        <v>4</v>
      </c>
      <c r="P51" s="19">
        <f>IF(ISNUMBER(O51),IF(O51=0,N51,0),NA())</f>
        <v>0</v>
      </c>
      <c r="Q51" s="19">
        <f>IF(ISNUMBER(O51),IF(O51=1,N51,0),NA())</f>
        <v>0</v>
      </c>
      <c r="R51" s="19">
        <f>IF(ISNUMBER(O51),IF(O51=2,N51,0),NA())</f>
        <v>0</v>
      </c>
      <c r="S51" s="19">
        <f>IF(ISNUMBER(O51),IF(O51=3,N51,0),NA())</f>
        <v>0</v>
      </c>
      <c r="T51" s="19">
        <f>IF(ISNUMBER(O51),IF(O51=4,N51,0),NA())</f>
        <v>0.7586666666666666</v>
      </c>
      <c r="U51" s="19">
        <f>IF(ISNUMBER(G51),MAX(0,MIN(1,(LOG10(G51)-LD_RLog0)/LD_RSpan)),NA())</f>
        <v>0.26133074469666434</v>
      </c>
      <c r="V51" s="19">
        <f>IF(ISNUMBER(H51),MAX(0,MIN(1,(LOG10(H51)-LD_RLog0)/LD_RSpan)),NA())</f>
        <v>0.27509263627939073</v>
      </c>
      <c r="W51" s="19">
        <f>IF(ISNUMBER(I51),MAX(0,MIN(1,(LOG10(I51)-LD_RLog0)/LD_RSpan)),NA())</f>
        <v>0.2837831628441937</v>
      </c>
      <c r="Y51" s="19"/>
      <c r="Z51" s="19"/>
      <c r="AA51" s="19">
        <f>MAX(0,MIN(1,(LD_Dec0+2+LOG10(4)-LD_RLog0)/LD_RSpan))</f>
        <v>0.5752574989159953</v>
      </c>
      <c r="AB51" s="19">
        <v>120.5</v>
      </c>
    </row>
    <row r="52">
      <c r="A52" s="0">
        <v>38</v>
      </c>
      <c r="B52" s="18">
        <f>LD_Top+(A52+0.5)*LD_Step</f>
        <v>5038.5</v>
      </c>
      <c r="C52" s="0">
        <f>IF(OR(LD_N&lt;2,B52&lt;LD_First,B52&gt;LD_Last),0,MIN(MATCH(B52,LD_Depth,1),LD_N-1))</f>
        <v>78</v>
      </c>
      <c r="D52" s="19">
        <f>IF(C52=0,0,(B52-INDEX(LD_Depth,C52))/(INDEX(LD_Depth,C52+1)-INDEX(LD_Depth,C52)))</f>
        <v>0</v>
      </c>
      <c r="E52" s="0">
        <f>IF(C52=0,NA(),IF(AND(IF(ISNUMBER(INDEX(LD_SP,C52)),INDEX(LD_SP,C52)&lt;&gt;LD_Null,FALSE),OR(D52=0,IF(ISNUMBER(INDEX(LD_SP,C52+1)),INDEX(LD_SP,C52+1)&lt;&gt;LD_Null,FALSE))),IF(D52=0,INDEX(LD_SP,C52),INDEX(LD_SP,C52)+D52*(INDEX(LD_SP,C52+1)-INDEX(LD_SP,C52))),NA()))</f>
        <v>-19.1</v>
      </c>
      <c r="F52" s="0">
        <f>IF(C52=0,NA(),IF(AND(IF(ISNUMBER(INDEX(LD_GR,C52)),INDEX(LD_GR,C52)&lt;&gt;LD_Null,FALSE),OR(D52=0,IF(ISNUMBER(INDEX(LD_GR,C52+1)),INDEX(LD_GR,C52+1)&lt;&gt;LD_Null,FALSE))),IF(D52=0,INDEX(LD_GR,C52),INDEX(LD_GR,C52)+D52*(INDEX(LD_GR,C52+1)-INDEX(LD_GR,C52))),NA()))</f>
        <v>108.7</v>
      </c>
      <c r="G52" s="0">
        <f>IF(C52=0,NA(),IF(AND(IF(ISNUMBER(INDEX(LD_RS,C52)),AND(INDEX(LD_RS,C52)&lt;&gt;LD_Null,INDEX(LD_RS,C52)&gt;0),FALSE),OR(D52=0,IF(ISNUMBER(INDEX(LD_RS,C52+1)),AND(INDEX(LD_RS,C52+1)&lt;&gt;LD_Null,INDEX(LD_RS,C52+1)&gt;0),FALSE))),IF(D52=0,INDEX(LD_RS,C52),INDEX(LD_RS,C52)+D52*(INDEX(LD_RS,C52+1)-INDEX(LD_RS,C52))),NA()))</f>
        <v>2.24</v>
      </c>
      <c r="H52" s="0">
        <f>IF(C52=0,NA(),IF(AND(IF(ISNUMBER(INDEX(LD_RM,C52)),AND(INDEX(LD_RM,C52)&lt;&gt;LD_Null,INDEX(LD_RM,C52)&gt;0),FALSE),OR(D52=0,IF(ISNUMBER(INDEX(LD_RM,C52+1)),AND(INDEX(LD_RM,C52+1)&lt;&gt;LD_Null,INDEX(LD_RM,C52+1)&gt;0),FALSE))),IF(D52=0,INDEX(LD_RM,C52),INDEX(LD_RM,C52)+D52*(INDEX(LD_RM,C52+1)-INDEX(LD_RM,C52))),NA()))</f>
        <v>2.55</v>
      </c>
      <c r="I52" s="0">
        <f>IF(C52=0,NA(),IF(AND(IF(ISNUMBER(INDEX(LD_RD,C52)),AND(INDEX(LD_RD,C52)&lt;&gt;LD_Null,INDEX(LD_RD,C52)&gt;0),FALSE),OR(D52=0,IF(ISNUMBER(INDEX(LD_RD,C52+1)),AND(INDEX(LD_RD,C52+1)&lt;&gt;LD_Null,INDEX(LD_RD,C52+1)&gt;0),FALSE))),IF(D52=0,INDEX(LD_RD,C52),INDEX(LD_RD,C52)+D52*(INDEX(LD_RD,C52+1)-INDEX(LD_RD,C52))),NA()))</f>
        <v>2.99</v>
      </c>
      <c r="J52" s="19">
        <f>IF(ISNUMBER(F52),MAX(0,MIN(1,(F52-LD_GRClean)/(LD_GRShale-LD_GRClean))),NA())</f>
        <v>0.9258823529411765</v>
      </c>
      <c r="K52" s="19">
        <f>IF(ISNUMBER(E52),(MAX(LD_SPMin,MIN(E52,LD_SPBase))-LD_SPMin)/(LD_SPMax-LD_SPMin),NA())</f>
        <v>0.809</v>
      </c>
      <c r="L52" s="19">
        <f>IF(ISNUMBER(E52),(LD_SPBase-MAX(LD_SPMin,MIN(E52,LD_SPBase)))/(LD_SPMax-LD_SPMin),NA())</f>
        <v>0.041000000000000016</v>
      </c>
      <c r="M52" s="19">
        <f>IF(ISNUMBER(E52),(MIN(LD_SPMax,MAX(E52,LD_SPBase))-LD_SPBase)/(LD_SPMax-LD_SPMin),NA())</f>
        <v>0</v>
      </c>
      <c r="N52" s="19">
        <f>IF(ISNUMBER(F52),MAX(0,MIN(1,(F52-LD_GRMin)/(LD_GRMax-LD_GRMin))),NA())</f>
        <v>0.7246666666666667</v>
      </c>
      <c r="O52" s="0">
        <f>IF(ISNUMBER(F52),(F52&gt;=LD_GRB1)+(F52&gt;=LD_GRB2)+(F52&gt;=LD_GRB3)+(F52&gt;=LD_GRB4),NA())</f>
        <v>4</v>
      </c>
      <c r="P52" s="19">
        <f>IF(ISNUMBER(O52),IF(O52=0,N52,0),NA())</f>
        <v>0</v>
      </c>
      <c r="Q52" s="19">
        <f>IF(ISNUMBER(O52),IF(O52=1,N52,0),NA())</f>
        <v>0</v>
      </c>
      <c r="R52" s="19">
        <f>IF(ISNUMBER(O52),IF(O52=2,N52,0),NA())</f>
        <v>0</v>
      </c>
      <c r="S52" s="19">
        <f>IF(ISNUMBER(O52),IF(O52=3,N52,0),NA())</f>
        <v>0</v>
      </c>
      <c r="T52" s="19">
        <f>IF(ISNUMBER(O52),IF(O52=4,N52,0),NA())</f>
        <v>0.7246666666666667</v>
      </c>
      <c r="U52" s="19">
        <f>IF(ISNUMBER(G52),MAX(0,MIN(1,(LOG10(G52)-LD_RLog0)/LD_RSpan)),NA())</f>
        <v>0.2623045056675454</v>
      </c>
      <c r="V52" s="19">
        <f>IF(ISNUMBER(H52),MAX(0,MIN(1,(LOG10(H52)-LD_RLog0)/LD_RSpan)),NA())</f>
        <v>0.27637754619249344</v>
      </c>
      <c r="W52" s="19">
        <f>IF(ISNUMBER(I52),MAX(0,MIN(1,(LOG10(I52)-LD_RLog0)/LD_RSpan)),NA())</f>
        <v>0.2936602981651121</v>
      </c>
      <c r="Y52" s="19"/>
      <c r="Z52" s="19"/>
      <c r="AA52" s="19">
        <f>MAX(0,MIN(1,(LD_Dec0+2+LOG10(5)-LD_RLog0)/LD_RSpan))</f>
        <v>0.5994850021680094</v>
      </c>
      <c r="AB52" s="19">
        <v>120.5</v>
      </c>
    </row>
    <row r="53">
      <c r="A53" s="0">
        <v>39</v>
      </c>
      <c r="B53" s="18">
        <f>LD_Top+(A53+0.5)*LD_Step</f>
        <v>5039.5</v>
      </c>
      <c r="C53" s="0">
        <f>IF(OR(LD_N&lt;2,B53&lt;LD_First,B53&gt;LD_Last),0,MIN(MATCH(B53,LD_Depth,1),LD_N-1))</f>
        <v>80</v>
      </c>
      <c r="D53" s="19">
        <f>IF(C53=0,0,(B53-INDEX(LD_Depth,C53))/(INDEX(LD_Depth,C53+1)-INDEX(LD_Depth,C53)))</f>
        <v>0</v>
      </c>
      <c r="E53" s="0">
        <f>IF(C53=0,NA(),IF(AND(IF(ISNUMBER(INDEX(LD_SP,C53)),INDEX(LD_SP,C53)&lt;&gt;LD_Null,FALSE),OR(D53=0,IF(ISNUMBER(INDEX(LD_SP,C53+1)),INDEX(LD_SP,C53+1)&lt;&gt;LD_Null,FALSE))),IF(D53=0,INDEX(LD_SP,C53),INDEX(LD_SP,C53)+D53*(INDEX(LD_SP,C53+1)-INDEX(LD_SP,C53))),NA()))</f>
        <v>-29.3</v>
      </c>
      <c r="F53" s="0">
        <f>IF(C53=0,NA(),IF(AND(IF(ISNUMBER(INDEX(LD_GR,C53)),INDEX(LD_GR,C53)&lt;&gt;LD_Null,FALSE),OR(D53=0,IF(ISNUMBER(INDEX(LD_GR,C53+1)),INDEX(LD_GR,C53+1)&lt;&gt;LD_Null,FALSE))),IF(D53=0,INDEX(LD_GR,C53),INDEX(LD_GR,C53)+D53*(INDEX(LD_GR,C53+1)-INDEX(LD_GR,C53))),NA()))</f>
        <v>95.9</v>
      </c>
      <c r="G53" s="0">
        <f>IF(C53=0,NA(),IF(AND(IF(ISNUMBER(INDEX(LD_RS,C53)),AND(INDEX(LD_RS,C53)&lt;&gt;LD_Null,INDEX(LD_RS,C53)&gt;0),FALSE),OR(D53=0,IF(ISNUMBER(INDEX(LD_RS,C53+1)),AND(INDEX(LD_RS,C53+1)&lt;&gt;LD_Null,INDEX(LD_RS,C53+1)&gt;0),FALSE))),IF(D53=0,INDEX(LD_RS,C53),INDEX(LD_RS,C53)+D53*(INDEX(LD_RS,C53+1)-INDEX(LD_RS,C53))),NA()))</f>
        <v>2.93</v>
      </c>
      <c r="H53" s="0">
        <f>IF(C53=0,NA(),IF(AND(IF(ISNUMBER(INDEX(LD_RM,C53)),AND(INDEX(LD_RM,C53)&lt;&gt;LD_Null,INDEX(LD_RM,C53)&gt;0),FALSE),OR(D53=0,IF(ISNUMBER(INDEX(LD_RM,C53+1)),AND(INDEX(LD_RM,C53+1)&lt;&gt;LD_Null,INDEX(LD_RM,C53+1)&gt;0),FALSE))),IF(D53=0,INDEX(LD_RM,C53),INDEX(LD_RM,C53)+D53*(INDEX(LD_RM,C53+1)-INDEX(LD_RM,C53))),NA()))</f>
        <v>4</v>
      </c>
      <c r="I53" s="0">
        <f>IF(C53=0,NA(),IF(AND(IF(ISNUMBER(INDEX(LD_RD,C53)),AND(INDEX(LD_RD,C53)&lt;&gt;LD_Null,INDEX(LD_RD,C53)&gt;0),FALSE),OR(D53=0,IF(ISNUMBER(INDEX(LD_RD,C53+1)),AND(INDEX(LD_RD,C53+1)&lt;&gt;LD_Null,INDEX(LD_RD,C53+1)&gt;0),FALSE))),IF(D53=0,INDEX(LD_RD,C53),INDEX(LD_RD,C53)+D53*(INDEX(LD_RD,C53+1)-INDEX(LD_RD,C53))),NA()))</f>
        <v>4.88</v>
      </c>
      <c r="J53" s="19">
        <f>IF(ISNUMBER(F53),MAX(0,MIN(1,(F53-LD_GRClean)/(LD_GRShale-LD_GRClean))),NA())</f>
        <v>0.7752941176470589</v>
      </c>
      <c r="K53" s="19">
        <f>IF(ISNUMBER(E53),(MAX(LD_SPMin,MIN(E53,LD_SPBase))-LD_SPMin)/(LD_SPMax-LD_SPMin),NA())</f>
        <v>0.7070000000000001</v>
      </c>
      <c r="L53" s="19">
        <f>IF(ISNUMBER(E53),(LD_SPBase-MAX(LD_SPMin,MIN(E53,LD_SPBase)))/(LD_SPMax-LD_SPMin),NA())</f>
        <v>0.14300000000000002</v>
      </c>
      <c r="M53" s="19">
        <f>IF(ISNUMBER(E53),(MIN(LD_SPMax,MAX(E53,LD_SPBase))-LD_SPBase)/(LD_SPMax-LD_SPMin),NA())</f>
        <v>0</v>
      </c>
      <c r="N53" s="19">
        <f>IF(ISNUMBER(F53),MAX(0,MIN(1,(F53-LD_GRMin)/(LD_GRMax-LD_GRMin))),NA())</f>
        <v>0.6393333333333334</v>
      </c>
      <c r="O53" s="0">
        <f>IF(ISNUMBER(F53),(F53&gt;=LD_GRB1)+(F53&gt;=LD_GRB2)+(F53&gt;=LD_GRB3)+(F53&gt;=LD_GRB4),NA())</f>
        <v>3</v>
      </c>
      <c r="P53" s="19">
        <f>IF(ISNUMBER(O53),IF(O53=0,N53,0),NA())</f>
        <v>0</v>
      </c>
      <c r="Q53" s="19">
        <f>IF(ISNUMBER(O53),IF(O53=1,N53,0),NA())</f>
        <v>0</v>
      </c>
      <c r="R53" s="19">
        <f>IF(ISNUMBER(O53),IF(O53=2,N53,0),NA())</f>
        <v>0</v>
      </c>
      <c r="S53" s="19">
        <f>IF(ISNUMBER(O53),IF(O53=3,N53,0),NA())</f>
        <v>0.6393333333333334</v>
      </c>
      <c r="T53" s="19">
        <f>IF(ISNUMBER(O53),IF(O53=4,N53,0),NA())</f>
        <v>0</v>
      </c>
      <c r="U53" s="19">
        <f>IF(ISNUMBER(G53),MAX(0,MIN(1,(LOG10(G53)-LD_RLog0)/LD_RSpan)),NA())</f>
        <v>0.2914594061725321</v>
      </c>
      <c r="V53" s="19">
        <f>IF(ISNUMBER(H53),MAX(0,MIN(1,(LOG10(H53)-LD_RLog0)/LD_RSpan)),NA())</f>
        <v>0.3252574989159953</v>
      </c>
      <c r="W53" s="19">
        <f>IF(ISNUMBER(I53),MAX(0,MIN(1,(LOG10(I53)-LD_RLog0)/LD_RSpan)),NA())</f>
        <v>0.3468474565846823</v>
      </c>
      <c r="Y53" s="19"/>
      <c r="Z53" s="19"/>
      <c r="AA53" s="19">
        <f>MAX(0,MIN(1,(LD_Dec0+2+LOG10(5)-LD_RLog0)/LD_RSpan))</f>
        <v>0.5994850021680094</v>
      </c>
      <c r="AB53" s="19">
        <v>-1.5</v>
      </c>
    </row>
    <row r="54">
      <c r="A54" s="0">
        <v>40</v>
      </c>
      <c r="B54" s="18">
        <f>LD_Top+(A54+0.5)*LD_Step</f>
        <v>5040.5</v>
      </c>
      <c r="C54" s="0">
        <f>IF(OR(LD_N&lt;2,B54&lt;LD_First,B54&gt;LD_Last),0,MIN(MATCH(B54,LD_Depth,1),LD_N-1))</f>
        <v>82</v>
      </c>
      <c r="D54" s="19">
        <f>IF(C54=0,0,(B54-INDEX(LD_Depth,C54))/(INDEX(LD_Depth,C54+1)-INDEX(LD_Depth,C54)))</f>
        <v>0</v>
      </c>
      <c r="E54" s="0">
        <f>IF(C54=0,NA(),IF(AND(IF(ISNUMBER(INDEX(LD_SP,C54)),INDEX(LD_SP,C54)&lt;&gt;LD_Null,FALSE),OR(D54=0,IF(ISNUMBER(INDEX(LD_SP,C54+1)),INDEX(LD_SP,C54+1)&lt;&gt;LD_Null,FALSE))),IF(D54=0,INDEX(LD_SP,C54),INDEX(LD_SP,C54)+D54*(INDEX(LD_SP,C54+1)-INDEX(LD_SP,C54))),NA()))</f>
        <v>-39</v>
      </c>
      <c r="F54" s="0">
        <f>IF(C54=0,NA(),IF(AND(IF(ISNUMBER(INDEX(LD_GR,C54)),INDEX(LD_GR,C54)&lt;&gt;LD_Null,FALSE),OR(D54=0,IF(ISNUMBER(INDEX(LD_GR,C54+1)),INDEX(LD_GR,C54+1)&lt;&gt;LD_Null,FALSE))),IF(D54=0,INDEX(LD_GR,C54),INDEX(LD_GR,C54)+D54*(INDEX(LD_GR,C54+1)-INDEX(LD_GR,C54))),NA()))</f>
        <v>78.9</v>
      </c>
      <c r="G54" s="0">
        <f>IF(C54=0,NA(),IF(AND(IF(ISNUMBER(INDEX(LD_RS,C54)),AND(INDEX(LD_RS,C54)&lt;&gt;LD_Null,INDEX(LD_RS,C54)&gt;0),FALSE),OR(D54=0,IF(ISNUMBER(INDEX(LD_RS,C54+1)),AND(INDEX(LD_RS,C54+1)&lt;&gt;LD_Null,INDEX(LD_RS,C54+1)&gt;0),FALSE))),IF(D54=0,INDEX(LD_RS,C54),INDEX(LD_RS,C54)+D54*(INDEX(LD_RS,C54+1)-INDEX(LD_RS,C54))),NA()))</f>
        <v>4.08</v>
      </c>
      <c r="H54" s="0">
        <f>IF(C54=0,NA(),IF(AND(IF(ISNUMBER(INDEX(LD_RM,C54)),AND(INDEX(LD_RM,C54)&lt;&gt;LD_Null,INDEX(LD_RM,C54)&gt;0),FALSE),OR(D54=0,IF(ISNUMBER(INDEX(LD_RM,C54+1)),AND(INDEX(LD_RM,C54+1)&lt;&gt;LD_Null,INDEX(LD_RM,C54+1)&gt;0),FALSE))),IF(D54=0,INDEX(LD_RM,C54),INDEX(LD_RM,C54)+D54*(INDEX(LD_RM,C54+1)-INDEX(LD_RM,C54))),NA()))</f>
        <v>7.15</v>
      </c>
      <c r="I54" s="0">
        <f>IF(C54=0,NA(),IF(AND(IF(ISNUMBER(INDEX(LD_RD,C54)),AND(INDEX(LD_RD,C54)&lt;&gt;LD_Null,INDEX(LD_RD,C54)&gt;0),FALSE),OR(D54=0,IF(ISNUMBER(INDEX(LD_RD,C54+1)),AND(INDEX(LD_RD,C54+1)&lt;&gt;LD_Null,INDEX(LD_RD,C54+1)&gt;0),FALSE))),IF(D54=0,INDEX(LD_RD,C54),INDEX(LD_RD,C54)+D54*(INDEX(LD_RD,C54+1)-INDEX(LD_RD,C54))),NA()))</f>
        <v>9.77</v>
      </c>
      <c r="J54" s="19">
        <f>IF(ISNUMBER(F54),MAX(0,MIN(1,(F54-LD_GRClean)/(LD_GRShale-LD_GRClean))),NA())</f>
        <v>0.5752941176470588</v>
      </c>
      <c r="K54" s="19">
        <f>IF(ISNUMBER(E54),(MAX(LD_SPMin,MIN(E54,LD_SPBase))-LD_SPMin)/(LD_SPMax-LD_SPMin),NA())</f>
        <v>0.61</v>
      </c>
      <c r="L54" s="19">
        <f>IF(ISNUMBER(E54),(LD_SPBase-MAX(LD_SPMin,MIN(E54,LD_SPBase)))/(LD_SPMax-LD_SPMin),NA())</f>
        <v>0.24</v>
      </c>
      <c r="M54" s="19">
        <f>IF(ISNUMBER(E54),(MIN(LD_SPMax,MAX(E54,LD_SPBase))-LD_SPBase)/(LD_SPMax-LD_SPMin),NA())</f>
        <v>0</v>
      </c>
      <c r="N54" s="19">
        <f>IF(ISNUMBER(F54),MAX(0,MIN(1,(F54-LD_GRMin)/(LD_GRMax-LD_GRMin))),NA())</f>
        <v>0.526</v>
      </c>
      <c r="O54" s="0">
        <f>IF(ISNUMBER(F54),(F54&gt;=LD_GRB1)+(F54&gt;=LD_GRB2)+(F54&gt;=LD_GRB3)+(F54&gt;=LD_GRB4),NA())</f>
        <v>2</v>
      </c>
      <c r="P54" s="19">
        <f>IF(ISNUMBER(O54),IF(O54=0,N54,0),NA())</f>
        <v>0</v>
      </c>
      <c r="Q54" s="19">
        <f>IF(ISNUMBER(O54),IF(O54=1,N54,0),NA())</f>
        <v>0</v>
      </c>
      <c r="R54" s="19">
        <f>IF(ISNUMBER(O54),IF(O54=2,N54,0),NA())</f>
        <v>0.526</v>
      </c>
      <c r="S54" s="19">
        <f>IF(ISNUMBER(O54),IF(O54=3,N54,0),NA())</f>
        <v>0</v>
      </c>
      <c r="T54" s="19">
        <f>IF(ISNUMBER(O54),IF(O54=4,N54,0),NA())</f>
        <v>0</v>
      </c>
      <c r="U54" s="19">
        <f>IF(ISNUMBER(G54),MAX(0,MIN(1,(LOG10(G54)-LD_RLog0)/LD_RSpan)),NA())</f>
        <v>0.3274075418564747</v>
      </c>
      <c r="V54" s="19">
        <f>IF(ISNUMBER(H54),MAX(0,MIN(1,(LOG10(H54)-LD_RLog0)/LD_RSpan)),NA())</f>
        <v>0.38831901153427484</v>
      </c>
      <c r="W54" s="19">
        <f>IF(ISNUMBER(I54),MAX(0,MIN(1,(LOG10(I54)-LD_RLog0)/LD_RSpan)),NA())</f>
        <v>0.42221614201369795</v>
      </c>
      <c r="Y54" s="19"/>
      <c r="Z54" s="19"/>
      <c r="AA54" s="19">
        <f>MAX(0,MIN(1,(LD_Dec0+2+LOG10(6)-LD_RLog0)/LD_RSpan))</f>
        <v>0.6192803136799157</v>
      </c>
      <c r="AB54" s="19">
        <v>-1.5</v>
      </c>
    </row>
    <row r="55">
      <c r="A55" s="0">
        <v>41</v>
      </c>
      <c r="B55" s="18">
        <f>LD_Top+(A55+0.5)*LD_Step</f>
        <v>5041.5</v>
      </c>
      <c r="C55" s="0">
        <f>IF(OR(LD_N&lt;2,B55&lt;LD_First,B55&gt;LD_Last),0,MIN(MATCH(B55,LD_Depth,1),LD_N-1))</f>
        <v>84</v>
      </c>
      <c r="D55" s="19">
        <f>IF(C55=0,0,(B55-INDEX(LD_Depth,C55))/(INDEX(LD_Depth,C55+1)-INDEX(LD_Depth,C55)))</f>
        <v>0</v>
      </c>
      <c r="E55" s="0">
        <f>IF(C55=0,NA(),IF(AND(IF(ISNUMBER(INDEX(LD_SP,C55)),INDEX(LD_SP,C55)&lt;&gt;LD_Null,FALSE),OR(D55=0,IF(ISNUMBER(INDEX(LD_SP,C55+1)),INDEX(LD_SP,C55+1)&lt;&gt;LD_Null,FALSE))),IF(D55=0,INDEX(LD_SP,C55),INDEX(LD_SP,C55)+D55*(INDEX(LD_SP,C55+1)-INDEX(LD_SP,C55))),NA()))</f>
        <v>-46.2</v>
      </c>
      <c r="F55" s="0">
        <f>IF(C55=0,NA(),IF(AND(IF(ISNUMBER(INDEX(LD_GR,C55)),INDEX(LD_GR,C55)&lt;&gt;LD_Null,FALSE),OR(D55=0,IF(ISNUMBER(INDEX(LD_GR,C55+1)),INDEX(LD_GR,C55+1)&lt;&gt;LD_Null,FALSE))),IF(D55=0,INDEX(LD_GR,C55),INDEX(LD_GR,C55)+D55*(INDEX(LD_GR,C55+1)-INDEX(LD_GR,C55))),NA()))</f>
        <v>70</v>
      </c>
      <c r="G55" s="0">
        <f>IF(C55=0,NA(),IF(AND(IF(ISNUMBER(INDEX(LD_RS,C55)),AND(INDEX(LD_RS,C55)&lt;&gt;LD_Null,INDEX(LD_RS,C55)&gt;0),FALSE),OR(D55=0,IF(ISNUMBER(INDEX(LD_RS,C55+1)),AND(INDEX(LD_RS,C55+1)&lt;&gt;LD_Null,INDEX(LD_RS,C55+1)&gt;0),FALSE))),IF(D55=0,INDEX(LD_RS,C55),INDEX(LD_RS,C55)+D55*(INDEX(LD_RS,C55+1)-INDEX(LD_RS,C55))),NA()))</f>
        <v>5.46</v>
      </c>
      <c r="H55" s="0">
        <f>IF(C55=0,NA(),IF(AND(IF(ISNUMBER(INDEX(LD_RM,C55)),AND(INDEX(LD_RM,C55)&lt;&gt;LD_Null,INDEX(LD_RM,C55)&gt;0),FALSE),OR(D55=0,IF(ISNUMBER(INDEX(LD_RM,C55+1)),AND(INDEX(LD_RM,C55+1)&lt;&gt;LD_Null,INDEX(LD_RM,C55+1)&gt;0),FALSE))),IF(D55=0,INDEX(LD_RM,C55),INDEX(LD_RM,C55)+D55*(INDEX(LD_RM,C55+1)-INDEX(LD_RM,C55))),NA()))</f>
        <v>9.24</v>
      </c>
      <c r="I55" s="0">
        <f>IF(C55=0,NA(),IF(AND(IF(ISNUMBER(INDEX(LD_RD,C55)),AND(INDEX(LD_RD,C55)&lt;&gt;LD_Null,INDEX(LD_RD,C55)&gt;0),FALSE),OR(D55=0,IF(ISNUMBER(INDEX(LD_RD,C55+1)),AND(INDEX(LD_RD,C55+1)&lt;&gt;LD_Null,INDEX(LD_RD,C55+1)&gt;0),FALSE))),IF(D55=0,INDEX(LD_RD,C55),INDEX(LD_RD,C55)+D55*(INDEX(LD_RD,C55+1)-INDEX(LD_RD,C55))),NA()))</f>
        <v>12.8</v>
      </c>
      <c r="J55" s="19">
        <f>IF(ISNUMBER(F55),MAX(0,MIN(1,(F55-LD_GRClean)/(LD_GRShale-LD_GRClean))),NA())</f>
        <v>0.47058823529411764</v>
      </c>
      <c r="K55" s="19">
        <f>IF(ISNUMBER(E55),(MAX(LD_SPMin,MIN(E55,LD_SPBase))-LD_SPMin)/(LD_SPMax-LD_SPMin),NA())</f>
        <v>0.5379999999999999</v>
      </c>
      <c r="L55" s="19">
        <f>IF(ISNUMBER(E55),(LD_SPBase-MAX(LD_SPMin,MIN(E55,LD_SPBase)))/(LD_SPMax-LD_SPMin),NA())</f>
        <v>0.31200000000000006</v>
      </c>
      <c r="M55" s="19">
        <f>IF(ISNUMBER(E55),(MIN(LD_SPMax,MAX(E55,LD_SPBase))-LD_SPBase)/(LD_SPMax-LD_SPMin),NA())</f>
        <v>0</v>
      </c>
      <c r="N55" s="19">
        <f>IF(ISNUMBER(F55),MAX(0,MIN(1,(F55-LD_GRMin)/(LD_GRMax-LD_GRMin))),NA())</f>
        <v>0.4666666666666667</v>
      </c>
      <c r="O55" s="0">
        <f>IF(ISNUMBER(F55),(F55&gt;=LD_GRB1)+(F55&gt;=LD_GRB2)+(F55&gt;=LD_GRB3)+(F55&gt;=LD_GRB4),NA())</f>
        <v>2</v>
      </c>
      <c r="P55" s="19">
        <f>IF(ISNUMBER(O55),IF(O55=0,N55,0),NA())</f>
        <v>0</v>
      </c>
      <c r="Q55" s="19">
        <f>IF(ISNUMBER(O55),IF(O55=1,N55,0),NA())</f>
        <v>0</v>
      </c>
      <c r="R55" s="19">
        <f>IF(ISNUMBER(O55),IF(O55=2,N55,0),NA())</f>
        <v>0.4666666666666667</v>
      </c>
      <c r="S55" s="19">
        <f>IF(ISNUMBER(O55),IF(O55=3,N55,0),NA())</f>
        <v>0</v>
      </c>
      <c r="T55" s="19">
        <f>IF(ISNUMBER(O55),IF(O55=4,N55,0),NA())</f>
        <v>0</v>
      </c>
      <c r="U55" s="19">
        <f>IF(ISNUMBER(G55),MAX(0,MIN(1,(LOG10(G55)-LD_RLog0)/LD_RSpan)),NA())</f>
        <v>0.359040661760189</v>
      </c>
      <c r="V55" s="19">
        <f>IF(ISNUMBER(H55),MAX(0,MIN(1,(LOG10(H55)-LD_RLog0)/LD_RSpan)),NA())</f>
        <v>0.41616049388903137</v>
      </c>
      <c r="W55" s="19">
        <f>IF(ISNUMBER(I55),MAX(0,MIN(1,(LOG10(I55)-LD_RLog0)/LD_RSpan)),NA())</f>
        <v>0.45154499349597177</v>
      </c>
      <c r="Y55" s="19"/>
      <c r="Z55" s="19"/>
      <c r="AA55" s="19">
        <f>MAX(0,MIN(1,(LD_Dec0+2+LOG10(6)-LD_RLog0)/LD_RSpan))</f>
        <v>0.6192803136799157</v>
      </c>
      <c r="AB55" s="19">
        <v>120.5</v>
      </c>
    </row>
    <row r="56">
      <c r="A56" s="0">
        <v>42</v>
      </c>
      <c r="B56" s="18">
        <f>LD_Top+(A56+0.5)*LD_Step</f>
        <v>5042.5</v>
      </c>
      <c r="C56" s="0">
        <f>IF(OR(LD_N&lt;2,B56&lt;LD_First,B56&gt;LD_Last),0,MIN(MATCH(B56,LD_Depth,1),LD_N-1))</f>
        <v>86</v>
      </c>
      <c r="D56" s="19">
        <f>IF(C56=0,0,(B56-INDEX(LD_Depth,C56))/(INDEX(LD_Depth,C56+1)-INDEX(LD_Depth,C56)))</f>
        <v>0</v>
      </c>
      <c r="E56" s="0">
        <f>IF(C56=0,NA(),IF(AND(IF(ISNUMBER(INDEX(LD_SP,C56)),INDEX(LD_SP,C56)&lt;&gt;LD_Null,FALSE),OR(D56=0,IF(ISNUMBER(INDEX(LD_SP,C56+1)),INDEX(LD_SP,C56+1)&lt;&gt;LD_Null,FALSE))),IF(D56=0,INDEX(LD_SP,C56),INDEX(LD_SP,C56)+D56*(INDEX(LD_SP,C56+1)-INDEX(LD_SP,C56))),NA()))</f>
        <v>-50.7</v>
      </c>
      <c r="F56" s="0">
        <f>IF(C56=0,NA(),IF(AND(IF(ISNUMBER(INDEX(LD_GR,C56)),INDEX(LD_GR,C56)&lt;&gt;LD_Null,FALSE),OR(D56=0,IF(ISNUMBER(INDEX(LD_GR,C56+1)),INDEX(LD_GR,C56+1)&lt;&gt;LD_Null,FALSE))),IF(D56=0,INDEX(LD_GR,C56),INDEX(LD_GR,C56)+D56*(INDEX(LD_GR,C56+1)-INDEX(LD_GR,C56))),NA()))</f>
        <v>65.4</v>
      </c>
      <c r="G56" s="0">
        <f>IF(C56=0,NA(),IF(AND(IF(ISNUMBER(INDEX(LD_RS,C56)),AND(INDEX(LD_RS,C56)&lt;&gt;LD_Null,INDEX(LD_RS,C56)&gt;0),FALSE),OR(D56=0,IF(ISNUMBER(INDEX(LD_RS,C56+1)),AND(INDEX(LD_RS,C56+1)&lt;&gt;LD_Null,INDEX(LD_RS,C56+1)&gt;0),FALSE))),IF(D56=0,INDEX(LD_RS,C56),INDEX(LD_RS,C56)+D56*(INDEX(LD_RS,C56+1)-INDEX(LD_RS,C56))),NA()))</f>
        <v>5.51</v>
      </c>
      <c r="H56" s="0">
        <f>IF(C56=0,NA(),IF(AND(IF(ISNUMBER(INDEX(LD_RM,C56)),AND(INDEX(LD_RM,C56)&lt;&gt;LD_Null,INDEX(LD_RM,C56)&gt;0),FALSE),OR(D56=0,IF(ISNUMBER(INDEX(LD_RM,C56+1)),AND(INDEX(LD_RM,C56+1)&lt;&gt;LD_Null,INDEX(LD_RM,C56+1)&gt;0),FALSE))),IF(D56=0,INDEX(LD_RM,C56),INDEX(LD_RM,C56)+D56*(INDEX(LD_RM,C56+1)-INDEX(LD_RM,C56))),NA()))</f>
        <v>10.8</v>
      </c>
      <c r="I56" s="0">
        <f>IF(C56=0,NA(),IF(AND(IF(ISNUMBER(INDEX(LD_RD,C56)),AND(INDEX(LD_RD,C56)&lt;&gt;LD_Null,INDEX(LD_RD,C56)&gt;0),FALSE),OR(D56=0,IF(ISNUMBER(INDEX(LD_RD,C56+1)),AND(INDEX(LD_RD,C56+1)&lt;&gt;LD_Null,INDEX(LD_RD,C56+1)&gt;0),FALSE))),IF(D56=0,INDEX(LD_RD,C56),INDEX(LD_RD,C56)+D56*(INDEX(LD_RD,C56+1)-INDEX(LD_RD,C56))),NA()))</f>
        <v>15.9</v>
      </c>
      <c r="J56" s="19">
        <f>IF(ISNUMBER(F56),MAX(0,MIN(1,(F56-LD_GRClean)/(LD_GRShale-LD_GRClean))),NA())</f>
        <v>0.4164705882352942</v>
      </c>
      <c r="K56" s="19">
        <f>IF(ISNUMBER(E56),(MAX(LD_SPMin,MIN(E56,LD_SPBase))-LD_SPMin)/(LD_SPMax-LD_SPMin),NA())</f>
        <v>0.493</v>
      </c>
      <c r="L56" s="19">
        <f>IF(ISNUMBER(E56),(LD_SPBase-MAX(LD_SPMin,MIN(E56,LD_SPBase)))/(LD_SPMax-LD_SPMin),NA())</f>
        <v>0.35700000000000004</v>
      </c>
      <c r="M56" s="19">
        <f>IF(ISNUMBER(E56),(MIN(LD_SPMax,MAX(E56,LD_SPBase))-LD_SPBase)/(LD_SPMax-LD_SPMin),NA())</f>
        <v>0</v>
      </c>
      <c r="N56" s="19">
        <f>IF(ISNUMBER(F56),MAX(0,MIN(1,(F56-LD_GRMin)/(LD_GRMax-LD_GRMin))),NA())</f>
        <v>0.43600000000000005</v>
      </c>
      <c r="O56" s="0">
        <f>IF(ISNUMBER(F56),(F56&gt;=LD_GRB1)+(F56&gt;=LD_GRB2)+(F56&gt;=LD_GRB3)+(F56&gt;=LD_GRB4),NA())</f>
        <v>2</v>
      </c>
      <c r="P56" s="19">
        <f>IF(ISNUMBER(O56),IF(O56=0,N56,0),NA())</f>
        <v>0</v>
      </c>
      <c r="Q56" s="19">
        <f>IF(ISNUMBER(O56),IF(O56=1,N56,0),NA())</f>
        <v>0</v>
      </c>
      <c r="R56" s="19">
        <f>IF(ISNUMBER(O56),IF(O56=2,N56,0),NA())</f>
        <v>0.43600000000000005</v>
      </c>
      <c r="S56" s="19">
        <f>IF(ISNUMBER(O56),IF(O56=3,N56,0),NA())</f>
        <v>0</v>
      </c>
      <c r="T56" s="19">
        <f>IF(ISNUMBER(O56),IF(O56=4,N56,0),NA())</f>
        <v>0</v>
      </c>
      <c r="U56" s="19">
        <f>IF(ISNUMBER(G56),MAX(0,MIN(1,(LOG10(G56)-LD_RLog0)/LD_RSpan)),NA())</f>
        <v>0.3600304007969509</v>
      </c>
      <c r="V56" s="19">
        <f>IF(ISNUMBER(H56),MAX(0,MIN(1,(LOG10(H56)-LD_RLog0)/LD_RSpan)),NA())</f>
        <v>0.4330984399557421</v>
      </c>
      <c r="W56" s="19">
        <f>IF(ISNUMBER(I56),MAX(0,MIN(1,(LOG10(I56)-LD_RLog0)/LD_RSpan)),NA())</f>
        <v>0.47509178216411757</v>
      </c>
      <c r="Y56" s="19"/>
      <c r="Z56" s="19"/>
      <c r="AA56" s="19">
        <f>MAX(0,MIN(1,(LD_Dec0+2+LOG10(7)-LD_RLog0)/LD_RSpan))</f>
        <v>0.6360170110875689</v>
      </c>
      <c r="AB56" s="19">
        <v>120.5</v>
      </c>
    </row>
    <row r="57">
      <c r="A57" s="0">
        <v>43</v>
      </c>
      <c r="B57" s="18">
        <f>LD_Top+(A57+0.5)*LD_Step</f>
        <v>5043.5</v>
      </c>
      <c r="C57" s="0">
        <f>IF(OR(LD_N&lt;2,B57&lt;LD_First,B57&gt;LD_Last),0,MIN(MATCH(B57,LD_Depth,1),LD_N-1))</f>
        <v>88</v>
      </c>
      <c r="D57" s="19">
        <f>IF(C57=0,0,(B57-INDEX(LD_Depth,C57))/(INDEX(LD_Depth,C57+1)-INDEX(LD_Depth,C57)))</f>
        <v>0</v>
      </c>
      <c r="E57" s="0">
        <f>IF(C57=0,NA(),IF(AND(IF(ISNUMBER(INDEX(LD_SP,C57)),INDEX(LD_SP,C57)&lt;&gt;LD_Null,FALSE),OR(D57=0,IF(ISNUMBER(INDEX(LD_SP,C57+1)),INDEX(LD_SP,C57+1)&lt;&gt;LD_Null,FALSE))),IF(D57=0,INDEX(LD_SP,C57),INDEX(LD_SP,C57)+D57*(INDEX(LD_SP,C57+1)-INDEX(LD_SP,C57))),NA()))</f>
        <v>-52.3</v>
      </c>
      <c r="F57" s="0">
        <f>IF(C57=0,NA(),IF(AND(IF(ISNUMBER(INDEX(LD_GR,C57)),INDEX(LD_GR,C57)&lt;&gt;LD_Null,FALSE),OR(D57=0,IF(ISNUMBER(INDEX(LD_GR,C57+1)),INDEX(LD_GR,C57+1)&lt;&gt;LD_Null,FALSE))),IF(D57=0,INDEX(LD_GR,C57),INDEX(LD_GR,C57)+D57*(INDEX(LD_GR,C57+1)-INDEX(LD_GR,C57))),NA()))</f>
        <v>62.6</v>
      </c>
      <c r="G57" s="0">
        <f>IF(C57=0,NA(),IF(AND(IF(ISNUMBER(INDEX(LD_RS,C57)),AND(INDEX(LD_RS,C57)&lt;&gt;LD_Null,INDEX(LD_RS,C57)&gt;0),FALSE),OR(D57=0,IF(ISNUMBER(INDEX(LD_RS,C57+1)),AND(INDEX(LD_RS,C57+1)&lt;&gt;LD_Null,INDEX(LD_RS,C57+1)&gt;0),FALSE))),IF(D57=0,INDEX(LD_RS,C57),INDEX(LD_RS,C57)+D57*(INDEX(LD_RS,C57+1)-INDEX(LD_RS,C57))),NA()))</f>
        <v>5.7</v>
      </c>
      <c r="H57" s="0">
        <f>IF(C57=0,NA(),IF(AND(IF(ISNUMBER(INDEX(LD_RM,C57)),AND(INDEX(LD_RM,C57)&lt;&gt;LD_Null,INDEX(LD_RM,C57)&gt;0),FALSE),OR(D57=0,IF(ISNUMBER(INDEX(LD_RM,C57+1)),AND(INDEX(LD_RM,C57+1)&lt;&gt;LD_Null,INDEX(LD_RM,C57+1)&gt;0),FALSE))),IF(D57=0,INDEX(LD_RM,C57),INDEX(LD_RM,C57)+D57*(INDEX(LD_RM,C57+1)-INDEX(LD_RM,C57))),NA()))</f>
        <v>11.9</v>
      </c>
      <c r="I57" s="0">
        <f>IF(C57=0,NA(),IF(AND(IF(ISNUMBER(INDEX(LD_RD,C57)),AND(INDEX(LD_RD,C57)&lt;&gt;LD_Null,INDEX(LD_RD,C57)&gt;0),FALSE),OR(D57=0,IF(ISNUMBER(INDEX(LD_RD,C57+1)),AND(INDEX(LD_RD,C57+1)&lt;&gt;LD_Null,INDEX(LD_RD,C57+1)&gt;0),FALSE))),IF(D57=0,INDEX(LD_RD,C57),INDEX(LD_RD,C57)+D57*(INDEX(LD_RD,C57+1)-INDEX(LD_RD,C57))),NA()))</f>
        <v>18.9</v>
      </c>
      <c r="J57" s="19">
        <f>IF(ISNUMBER(F57),MAX(0,MIN(1,(F57-LD_GRClean)/(LD_GRShale-LD_GRClean))),NA())</f>
        <v>0.3835294117647059</v>
      </c>
      <c r="K57" s="19">
        <f>IF(ISNUMBER(E57),(MAX(LD_SPMin,MIN(E57,LD_SPBase))-LD_SPMin)/(LD_SPMax-LD_SPMin),NA())</f>
        <v>0.47700000000000004</v>
      </c>
      <c r="L57" s="19">
        <f>IF(ISNUMBER(E57),(LD_SPBase-MAX(LD_SPMin,MIN(E57,LD_SPBase)))/(LD_SPMax-LD_SPMin),NA())</f>
        <v>0.373</v>
      </c>
      <c r="M57" s="19">
        <f>IF(ISNUMBER(E57),(MIN(LD_SPMax,MAX(E57,LD_SPBase))-LD_SPBase)/(LD_SPMax-LD_SPMin),NA())</f>
        <v>0</v>
      </c>
      <c r="N57" s="19">
        <f>IF(ISNUMBER(F57),MAX(0,MIN(1,(F57-LD_GRMin)/(LD_GRMax-LD_GRMin))),NA())</f>
        <v>0.41733333333333333</v>
      </c>
      <c r="O57" s="0">
        <f>IF(ISNUMBER(F57),(F57&gt;=LD_GRB1)+(F57&gt;=LD_GRB2)+(F57&gt;=LD_GRB3)+(F57&gt;=LD_GRB4),NA())</f>
        <v>1</v>
      </c>
      <c r="P57" s="19">
        <f>IF(ISNUMBER(O57),IF(O57=0,N57,0),NA())</f>
        <v>0</v>
      </c>
      <c r="Q57" s="19">
        <f>IF(ISNUMBER(O57),IF(O57=1,N57,0),NA())</f>
        <v>0.41733333333333333</v>
      </c>
      <c r="R57" s="19">
        <f>IF(ISNUMBER(O57),IF(O57=2,N57,0),NA())</f>
        <v>0</v>
      </c>
      <c r="S57" s="19">
        <f>IF(ISNUMBER(O57),IF(O57=3,N57,0),NA())</f>
        <v>0</v>
      </c>
      <c r="T57" s="19">
        <f>IF(ISNUMBER(O57),IF(O57=4,N57,0),NA())</f>
        <v>0</v>
      </c>
      <c r="U57" s="19">
        <f>IF(ISNUMBER(G57),MAX(0,MIN(1,(LOG10(G57)-LD_RLog0)/LD_RSpan)),NA())</f>
        <v>0.36371121500212755</v>
      </c>
      <c r="V57" s="19">
        <f>IF(ISNUMBER(H57),MAX(0,MIN(1,(LOG10(H57)-LD_RLog0)/LD_RSpan)),NA())</f>
        <v>0.4436292414321374</v>
      </c>
      <c r="W57" s="19">
        <f>IF(ISNUMBER(I57),MAX(0,MIN(1,(LOG10(I57)-LD_RLog0)/LD_RSpan)),NA())</f>
        <v>0.4938579521273157</v>
      </c>
      <c r="Y57" s="19"/>
      <c r="Z57" s="19"/>
      <c r="AA57" s="19">
        <f>MAX(0,MIN(1,(LD_Dec0+2+LOG10(7)-LD_RLog0)/LD_RSpan))</f>
        <v>0.6360170110875689</v>
      </c>
      <c r="AB57" s="19">
        <v>-1.5</v>
      </c>
    </row>
    <row r="58">
      <c r="A58" s="0">
        <v>44</v>
      </c>
      <c r="B58" s="18">
        <f>LD_Top+(A58+0.5)*LD_Step</f>
        <v>5044.5</v>
      </c>
      <c r="C58" s="0">
        <f>IF(OR(LD_N&lt;2,B58&lt;LD_First,B58&gt;LD_Last),0,MIN(MATCH(B58,LD_Depth,1),LD_N-1))</f>
        <v>90</v>
      </c>
      <c r="D58" s="19">
        <f>IF(C58=0,0,(B58-INDEX(LD_Depth,C58))/(INDEX(LD_Depth,C58+1)-INDEX(LD_Depth,C58)))</f>
        <v>0</v>
      </c>
      <c r="E58" s="0">
        <f>IF(C58=0,NA(),IF(AND(IF(ISNUMBER(INDEX(LD_SP,C58)),INDEX(LD_SP,C58)&lt;&gt;LD_Null,FALSE),OR(D58=0,IF(ISNUMBER(INDEX(LD_SP,C58+1)),INDEX(LD_SP,C58+1)&lt;&gt;LD_Null,FALSE))),IF(D58=0,INDEX(LD_SP,C58),INDEX(LD_SP,C58)+D58*(INDEX(LD_SP,C58+1)-INDEX(LD_SP,C58))),NA()))</f>
        <v>-51.4</v>
      </c>
      <c r="F58" s="0">
        <f>IF(C58=0,NA(),IF(AND(IF(ISNUMBER(INDEX(LD_GR,C58)),INDEX(LD_GR,C58)&lt;&gt;LD_Null,FALSE),OR(D58=0,IF(ISNUMBER(INDEX(LD_GR,C58+1)),INDEX(LD_GR,C58+1)&lt;&gt;LD_Null,FALSE))),IF(D58=0,INDEX(LD_GR,C58),INDEX(LD_GR,C58)+D58*(INDEX(LD_GR,C58+1)-INDEX(LD_GR,C58))),NA()))</f>
        <v>58.9</v>
      </c>
      <c r="G58" s="0">
        <f>IF(C58=0,NA(),IF(AND(IF(ISNUMBER(INDEX(LD_RS,C58)),AND(INDEX(LD_RS,C58)&lt;&gt;LD_Null,INDEX(LD_RS,C58)&gt;0),FALSE),OR(D58=0,IF(ISNUMBER(INDEX(LD_RS,C58+1)),AND(INDEX(LD_RS,C58+1)&lt;&gt;LD_Null,INDEX(LD_RS,C58+1)&gt;0),FALSE))),IF(D58=0,INDEX(LD_RS,C58),INDEX(LD_RS,C58)+D58*(INDEX(LD_RS,C58+1)-INDEX(LD_RS,C58))),NA()))</f>
        <v>6.29</v>
      </c>
      <c r="H58" s="0">
        <f>IF(C58=0,NA(),IF(AND(IF(ISNUMBER(INDEX(LD_RM,C58)),AND(INDEX(LD_RM,C58)&lt;&gt;LD_Null,INDEX(LD_RM,C58)&gt;0),FALSE),OR(D58=0,IF(ISNUMBER(INDEX(LD_RM,C58+1)),AND(INDEX(LD_RM,C58+1)&lt;&gt;LD_Null,INDEX(LD_RM,C58+1)&gt;0),FALSE))),IF(D58=0,INDEX(LD_RM,C58),INDEX(LD_RM,C58)+D58*(INDEX(LD_RM,C58+1)-INDEX(LD_RM,C58))),NA()))</f>
        <v>12.2</v>
      </c>
      <c r="I58" s="0">
        <f>IF(C58=0,NA(),IF(AND(IF(ISNUMBER(INDEX(LD_RD,C58)),AND(INDEX(LD_RD,C58)&lt;&gt;LD_Null,INDEX(LD_RD,C58)&gt;0),FALSE),OR(D58=0,IF(ISNUMBER(INDEX(LD_RD,C58+1)),AND(INDEX(LD_RD,C58+1)&lt;&gt;LD_Null,INDEX(LD_RD,C58+1)&gt;0),FALSE))),IF(D58=0,INDEX(LD_RD,C58),INDEX(LD_RD,C58)+D58*(INDEX(LD_RD,C58+1)-INDEX(LD_RD,C58))),NA()))</f>
        <v>17.9</v>
      </c>
      <c r="J58" s="19">
        <f>IF(ISNUMBER(F58),MAX(0,MIN(1,(F58-LD_GRClean)/(LD_GRShale-LD_GRClean))),NA())</f>
        <v>0.33999999999999997</v>
      </c>
      <c r="K58" s="19">
        <f>IF(ISNUMBER(E58),(MAX(LD_SPMin,MIN(E58,LD_SPBase))-LD_SPMin)/(LD_SPMax-LD_SPMin),NA())</f>
        <v>0.486</v>
      </c>
      <c r="L58" s="19">
        <f>IF(ISNUMBER(E58),(LD_SPBase-MAX(LD_SPMin,MIN(E58,LD_SPBase)))/(LD_SPMax-LD_SPMin),NA())</f>
        <v>0.364</v>
      </c>
      <c r="M58" s="19">
        <f>IF(ISNUMBER(E58),(MIN(LD_SPMax,MAX(E58,LD_SPBase))-LD_SPBase)/(LD_SPMax-LD_SPMin),NA())</f>
        <v>0</v>
      </c>
      <c r="N58" s="19">
        <f>IF(ISNUMBER(F58),MAX(0,MIN(1,(F58-LD_GRMin)/(LD_GRMax-LD_GRMin))),NA())</f>
        <v>0.39266666666666666</v>
      </c>
      <c r="O58" s="0">
        <f>IF(ISNUMBER(F58),(F58&gt;=LD_GRB1)+(F58&gt;=LD_GRB2)+(F58&gt;=LD_GRB3)+(F58&gt;=LD_GRB4),NA())</f>
        <v>1</v>
      </c>
      <c r="P58" s="19">
        <f>IF(ISNUMBER(O58),IF(O58=0,N58,0),NA())</f>
        <v>0</v>
      </c>
      <c r="Q58" s="19">
        <f>IF(ISNUMBER(O58),IF(O58=1,N58,0),NA())</f>
        <v>0.39266666666666666</v>
      </c>
      <c r="R58" s="19">
        <f>IF(ISNUMBER(O58),IF(O58=2,N58,0),NA())</f>
        <v>0</v>
      </c>
      <c r="S58" s="19">
        <f>IF(ISNUMBER(O58),IF(O58=3,N58,0),NA())</f>
        <v>0</v>
      </c>
      <c r="T58" s="19">
        <f>IF(ISNUMBER(O58),IF(O58=4,N58,0),NA())</f>
        <v>0</v>
      </c>
      <c r="U58" s="19">
        <f>IF(ISNUMBER(G58),MAX(0,MIN(1,(LOG10(G58)-LD_RLog0)/LD_RSpan)),NA())</f>
        <v>0.3744051624453219</v>
      </c>
      <c r="V58" s="19">
        <f>IF(ISNUMBER(H58),MAX(0,MIN(1,(LOG10(H58)-LD_RLog0)/LD_RSpan)),NA())</f>
        <v>0.44633245875269173</v>
      </c>
      <c r="W58" s="19">
        <f>IF(ISNUMBER(I58),MAX(0,MIN(1,(LOG10(I58)-LD_RLog0)/LD_RSpan)),NA())</f>
        <v>0.48795575882897796</v>
      </c>
      <c r="Y58" s="19"/>
      <c r="Z58" s="19"/>
      <c r="AA58" s="19">
        <f>MAX(0,MIN(1,(LD_Dec0+2+LOG10(8)-LD_RLog0)/LD_RSpan))</f>
        <v>0.6505149978319906</v>
      </c>
      <c r="AB58" s="19">
        <v>-1.5</v>
      </c>
    </row>
    <row r="59">
      <c r="A59" s="0">
        <v>45</v>
      </c>
      <c r="B59" s="18">
        <f>LD_Top+(A59+0.5)*LD_Step</f>
        <v>5045.5</v>
      </c>
      <c r="C59" s="0">
        <f>IF(OR(LD_N&lt;2,B59&lt;LD_First,B59&gt;LD_Last),0,MIN(MATCH(B59,LD_Depth,1),LD_N-1))</f>
        <v>92</v>
      </c>
      <c r="D59" s="19">
        <f>IF(C59=0,0,(B59-INDEX(LD_Depth,C59))/(INDEX(LD_Depth,C59+1)-INDEX(LD_Depth,C59)))</f>
        <v>0</v>
      </c>
      <c r="E59" s="0">
        <f>IF(C59=0,NA(),IF(AND(IF(ISNUMBER(INDEX(LD_SP,C59)),INDEX(LD_SP,C59)&lt;&gt;LD_Null,FALSE),OR(D59=0,IF(ISNUMBER(INDEX(LD_SP,C59+1)),INDEX(LD_SP,C59+1)&lt;&gt;LD_Null,FALSE))),IF(D59=0,INDEX(LD_SP,C59),INDEX(LD_SP,C59)+D59*(INDEX(LD_SP,C59+1)-INDEX(LD_SP,C59))),NA()))</f>
        <v>-51.7</v>
      </c>
      <c r="F59" s="0">
        <f>IF(C59=0,NA(),IF(AND(IF(ISNUMBER(INDEX(LD_GR,C59)),INDEX(LD_GR,C59)&lt;&gt;LD_Null,FALSE),OR(D59=0,IF(ISNUMBER(INDEX(LD_GR,C59+1)),INDEX(LD_GR,C59+1)&lt;&gt;LD_Null,FALSE))),IF(D59=0,INDEX(LD_GR,C59),INDEX(LD_GR,C59)+D59*(INDEX(LD_GR,C59+1)-INDEX(LD_GR,C59))),NA()))</f>
        <v>65.2</v>
      </c>
      <c r="G59" s="0">
        <f>IF(C59=0,NA(),IF(AND(IF(ISNUMBER(INDEX(LD_RS,C59)),AND(INDEX(LD_RS,C59)&lt;&gt;LD_Null,INDEX(LD_RS,C59)&gt;0),FALSE),OR(D59=0,IF(ISNUMBER(INDEX(LD_RS,C59+1)),AND(INDEX(LD_RS,C59+1)&lt;&gt;LD_Null,INDEX(LD_RS,C59+1)&gt;0),FALSE))),IF(D59=0,INDEX(LD_RS,C59),INDEX(LD_RS,C59)+D59*(INDEX(LD_RS,C59+1)-INDEX(LD_RS,C59))),NA()))</f>
        <v>6.11</v>
      </c>
      <c r="H59" s="0">
        <f>IF(C59=0,NA(),IF(AND(IF(ISNUMBER(INDEX(LD_RM,C59)),AND(INDEX(LD_RM,C59)&lt;&gt;LD_Null,INDEX(LD_RM,C59)&gt;0),FALSE),OR(D59=0,IF(ISNUMBER(INDEX(LD_RM,C59+1)),AND(INDEX(LD_RM,C59+1)&lt;&gt;LD_Null,INDEX(LD_RM,C59+1)&gt;0),FALSE))),IF(D59=0,INDEX(LD_RM,C59),INDEX(LD_RM,C59)+D59*(INDEX(LD_RM,C59+1)-INDEX(LD_RM,C59))),NA()))</f>
        <v>11.8</v>
      </c>
      <c r="I59" s="0">
        <f>IF(C59=0,NA(),IF(AND(IF(ISNUMBER(INDEX(LD_RD,C59)),AND(INDEX(LD_RD,C59)&lt;&gt;LD_Null,INDEX(LD_RD,C59)&gt;0),FALSE),OR(D59=0,IF(ISNUMBER(INDEX(LD_RD,C59+1)),AND(INDEX(LD_RD,C59+1)&lt;&gt;LD_Null,INDEX(LD_RD,C59+1)&gt;0),FALSE))),IF(D59=0,INDEX(LD_RD,C59),INDEX(LD_RD,C59)+D59*(INDEX(LD_RD,C59+1)-INDEX(LD_RD,C59))),NA()))</f>
        <v>15.9</v>
      </c>
      <c r="J59" s="19">
        <f>IF(ISNUMBER(F59),MAX(0,MIN(1,(F59-LD_GRClean)/(LD_GRShale-LD_GRClean))),NA())</f>
        <v>0.4141176470588236</v>
      </c>
      <c r="K59" s="19">
        <f>IF(ISNUMBER(E59),(MAX(LD_SPMin,MIN(E59,LD_SPBase))-LD_SPMin)/(LD_SPMax-LD_SPMin),NA())</f>
        <v>0.483</v>
      </c>
      <c r="L59" s="19">
        <f>IF(ISNUMBER(E59),(LD_SPBase-MAX(LD_SPMin,MIN(E59,LD_SPBase)))/(LD_SPMax-LD_SPMin),NA())</f>
        <v>0.36700000000000005</v>
      </c>
      <c r="M59" s="19">
        <f>IF(ISNUMBER(E59),(MIN(LD_SPMax,MAX(E59,LD_SPBase))-LD_SPBase)/(LD_SPMax-LD_SPMin),NA())</f>
        <v>0</v>
      </c>
      <c r="N59" s="19">
        <f>IF(ISNUMBER(F59),MAX(0,MIN(1,(F59-LD_GRMin)/(LD_GRMax-LD_GRMin))),NA())</f>
        <v>0.4346666666666667</v>
      </c>
      <c r="O59" s="0">
        <f>IF(ISNUMBER(F59),(F59&gt;=LD_GRB1)+(F59&gt;=LD_GRB2)+(F59&gt;=LD_GRB3)+(F59&gt;=LD_GRB4),NA())</f>
        <v>2</v>
      </c>
      <c r="P59" s="19">
        <f>IF(ISNUMBER(O59),IF(O59=0,N59,0),NA())</f>
        <v>0</v>
      </c>
      <c r="Q59" s="19">
        <f>IF(ISNUMBER(O59),IF(O59=1,N59,0),NA())</f>
        <v>0</v>
      </c>
      <c r="R59" s="19">
        <f>IF(ISNUMBER(O59),IF(O59=2,N59,0),NA())</f>
        <v>0.4346666666666667</v>
      </c>
      <c r="S59" s="19">
        <f>IF(ISNUMBER(O59),IF(O59=3,N59,0),NA())</f>
        <v>0</v>
      </c>
      <c r="T59" s="19">
        <f>IF(ISNUMBER(O59),IF(O59=4,N59,0),NA())</f>
        <v>0</v>
      </c>
      <c r="U59" s="19">
        <f>IF(ISNUMBER(G59),MAX(0,MIN(1,(LOG10(G59)-LD_RLog0)/LD_RSpan)),NA())</f>
        <v>0.37125280364464325</v>
      </c>
      <c r="V59" s="19">
        <f>IF(ISNUMBER(H59),MAX(0,MIN(1,(LOG10(H59)-LD_RLog0)/LD_RSpan)),NA())</f>
        <v>0.44271300291053606</v>
      </c>
      <c r="W59" s="19">
        <f>IF(ISNUMBER(I59),MAX(0,MIN(1,(LOG10(I59)-LD_RLog0)/LD_RSpan)),NA())</f>
        <v>0.47509178216411757</v>
      </c>
      <c r="Y59" s="19"/>
      <c r="Z59" s="19"/>
      <c r="AA59" s="19">
        <f>MAX(0,MIN(1,(LD_Dec0+2+LOG10(8)-LD_RLog0)/LD_RSpan))</f>
        <v>0.6505149978319906</v>
      </c>
      <c r="AB59" s="19">
        <v>120.5</v>
      </c>
    </row>
    <row r="60">
      <c r="A60" s="0">
        <v>46</v>
      </c>
      <c r="B60" s="18">
        <f>LD_Top+(A60+0.5)*LD_Step</f>
        <v>5046.5</v>
      </c>
      <c r="C60" s="0">
        <f>IF(OR(LD_N&lt;2,B60&lt;LD_First,B60&gt;LD_Last),0,MIN(MATCH(B60,LD_Depth,1),LD_N-1))</f>
        <v>94</v>
      </c>
      <c r="D60" s="19">
        <f>IF(C60=0,0,(B60-INDEX(LD_Depth,C60))/(INDEX(LD_Depth,C60+1)-INDEX(LD_Depth,C60)))</f>
        <v>0</v>
      </c>
      <c r="E60" s="0">
        <f>IF(C60=0,NA(),IF(AND(IF(ISNUMBER(INDEX(LD_SP,C60)),INDEX(LD_SP,C60)&lt;&gt;LD_Null,FALSE),OR(D60=0,IF(ISNUMBER(INDEX(LD_SP,C60+1)),INDEX(LD_SP,C60+1)&lt;&gt;LD_Null,FALSE))),IF(D60=0,INDEX(LD_SP,C60),INDEX(LD_SP,C60)+D60*(INDEX(LD_SP,C60+1)-INDEX(LD_SP,C60))),NA()))</f>
        <v>-51.9</v>
      </c>
      <c r="F60" s="0">
        <f>IF(C60=0,NA(),IF(AND(IF(ISNUMBER(INDEX(LD_GR,C60)),INDEX(LD_GR,C60)&lt;&gt;LD_Null,FALSE),OR(D60=0,IF(ISNUMBER(INDEX(LD_GR,C60+1)),INDEX(LD_GR,C60+1)&lt;&gt;LD_Null,FALSE))),IF(D60=0,INDEX(LD_GR,C60),INDEX(LD_GR,C60)+D60*(INDEX(LD_GR,C60+1)-INDEX(LD_GR,C60))),NA()))</f>
        <v>63.2</v>
      </c>
      <c r="G60" s="0">
        <f>IF(C60=0,NA(),IF(AND(IF(ISNUMBER(INDEX(LD_RS,C60)),AND(INDEX(LD_RS,C60)&lt;&gt;LD_Null,INDEX(LD_RS,C60)&gt;0),FALSE),OR(D60=0,IF(ISNUMBER(INDEX(LD_RS,C60+1)),AND(INDEX(LD_RS,C60+1)&lt;&gt;LD_Null,INDEX(LD_RS,C60+1)&gt;0),FALSE))),IF(D60=0,INDEX(LD_RS,C60),INDEX(LD_RS,C60)+D60*(INDEX(LD_RS,C60+1)-INDEX(LD_RS,C60))),NA()))</f>
        <v>5.37</v>
      </c>
      <c r="H60" s="0">
        <f>IF(C60=0,NA(),IF(AND(IF(ISNUMBER(INDEX(LD_RM,C60)),AND(INDEX(LD_RM,C60)&lt;&gt;LD_Null,INDEX(LD_RM,C60)&gt;0),FALSE),OR(D60=0,IF(ISNUMBER(INDEX(LD_RM,C60+1)),AND(INDEX(LD_RM,C60+1)&lt;&gt;LD_Null,INDEX(LD_RM,C60+1)&gt;0),FALSE))),IF(D60=0,INDEX(LD_RM,C60),INDEX(LD_RM,C60)+D60*(INDEX(LD_RM,C60+1)-INDEX(LD_RM,C60))),NA()))</f>
        <v>10.3</v>
      </c>
      <c r="I60" s="0">
        <f>IF(C60=0,NA(),IF(AND(IF(ISNUMBER(INDEX(LD_RD,C60)),AND(INDEX(LD_RD,C60)&lt;&gt;LD_Null,INDEX(LD_RD,C60)&gt;0),FALSE),OR(D60=0,IF(ISNUMBER(INDEX(LD_RD,C60+1)),AND(INDEX(LD_RD,C60+1)&lt;&gt;LD_Null,INDEX(LD_RD,C60+1)&gt;0),FALSE))),IF(D60=0,INDEX(LD_RD,C60),INDEX(LD_RD,C60)+D60*(INDEX(LD_RD,C60+1)-INDEX(LD_RD,C60))),NA()))</f>
        <v>16.7</v>
      </c>
      <c r="J60" s="19">
        <f>IF(ISNUMBER(F60),MAX(0,MIN(1,(F60-LD_GRClean)/(LD_GRShale-LD_GRClean))),NA())</f>
        <v>0.3905882352941177</v>
      </c>
      <c r="K60" s="19">
        <f>IF(ISNUMBER(E60),(MAX(LD_SPMin,MIN(E60,LD_SPBase))-LD_SPMin)/(LD_SPMax-LD_SPMin),NA())</f>
        <v>0.48100000000000004</v>
      </c>
      <c r="L60" s="19">
        <f>IF(ISNUMBER(E60),(LD_SPBase-MAX(LD_SPMin,MIN(E60,LD_SPBase)))/(LD_SPMax-LD_SPMin),NA())</f>
        <v>0.369</v>
      </c>
      <c r="M60" s="19">
        <f>IF(ISNUMBER(E60),(MIN(LD_SPMax,MAX(E60,LD_SPBase))-LD_SPBase)/(LD_SPMax-LD_SPMin),NA())</f>
        <v>0</v>
      </c>
      <c r="N60" s="19">
        <f>IF(ISNUMBER(F60),MAX(0,MIN(1,(F60-LD_GRMin)/(LD_GRMax-LD_GRMin))),NA())</f>
        <v>0.42133333333333334</v>
      </c>
      <c r="O60" s="0">
        <f>IF(ISNUMBER(F60),(F60&gt;=LD_GRB1)+(F60&gt;=LD_GRB2)+(F60&gt;=LD_GRB3)+(F60&gt;=LD_GRB4),NA())</f>
        <v>1</v>
      </c>
      <c r="P60" s="19">
        <f>IF(ISNUMBER(O60),IF(O60=0,N60,0),NA())</f>
        <v>0</v>
      </c>
      <c r="Q60" s="19">
        <f>IF(ISNUMBER(O60),IF(O60=1,N60,0),NA())</f>
        <v>0.42133333333333334</v>
      </c>
      <c r="R60" s="19">
        <f>IF(ISNUMBER(O60),IF(O60=2,N60,0),NA())</f>
        <v>0</v>
      </c>
      <c r="S60" s="19">
        <f>IF(ISNUMBER(O60),IF(O60=3,N60,0),NA())</f>
        <v>0</v>
      </c>
      <c r="T60" s="19">
        <f>IF(ISNUMBER(O60),IF(O60=4,N60,0),NA())</f>
        <v>0</v>
      </c>
      <c r="U60" s="19">
        <f>IF(ISNUMBER(G60),MAX(0,MIN(1,(LOG10(G60)-LD_RLog0)/LD_RSpan)),NA())</f>
        <v>0.35723607250889355</v>
      </c>
      <c r="V60" s="19">
        <f>IF(ISNUMBER(H60),MAX(0,MIN(1,(LOG10(H60)-LD_RLog0)/LD_RSpan)),NA())</f>
        <v>0.42795180726029775</v>
      </c>
      <c r="W60" s="19">
        <f>IF(ISNUMBER(I60),MAX(0,MIN(1,(LOG10(I60)-LD_RLog0)/LD_RSpan)),NA())</f>
        <v>0.4804216188709005</v>
      </c>
      <c r="Y60" s="19"/>
      <c r="Z60" s="19"/>
      <c r="AA60" s="19">
        <f>MAX(0,MIN(1,(LD_Dec0+2+LOG10(9)-LD_RLog0)/LD_RSpan))</f>
        <v>0.6633031284438359</v>
      </c>
      <c r="AB60" s="19">
        <v>120.5</v>
      </c>
    </row>
    <row r="61">
      <c r="A61" s="0">
        <v>47</v>
      </c>
      <c r="B61" s="18">
        <f>LD_Top+(A61+0.5)*LD_Step</f>
        <v>5047.5</v>
      </c>
      <c r="C61" s="0">
        <f>IF(OR(LD_N&lt;2,B61&lt;LD_First,B61&gt;LD_Last),0,MIN(MATCH(B61,LD_Depth,1),LD_N-1))</f>
        <v>96</v>
      </c>
      <c r="D61" s="19">
        <f>IF(C61=0,0,(B61-INDEX(LD_Depth,C61))/(INDEX(LD_Depth,C61+1)-INDEX(LD_Depth,C61)))</f>
        <v>0</v>
      </c>
      <c r="E61" s="0">
        <f>IF(C61=0,NA(),IF(AND(IF(ISNUMBER(INDEX(LD_SP,C61)),INDEX(LD_SP,C61)&lt;&gt;LD_Null,FALSE),OR(D61=0,IF(ISNUMBER(INDEX(LD_SP,C61+1)),INDEX(LD_SP,C61+1)&lt;&gt;LD_Null,FALSE))),IF(D61=0,INDEX(LD_SP,C61),INDEX(LD_SP,C61)+D61*(INDEX(LD_SP,C61+1)-INDEX(LD_SP,C61))),NA()))</f>
        <v>-52.4</v>
      </c>
      <c r="F61" s="0">
        <f>IF(C61=0,NA(),IF(AND(IF(ISNUMBER(INDEX(LD_GR,C61)),INDEX(LD_GR,C61)&lt;&gt;LD_Null,FALSE),OR(D61=0,IF(ISNUMBER(INDEX(LD_GR,C61+1)),INDEX(LD_GR,C61+1)&lt;&gt;LD_Null,FALSE))),IF(D61=0,INDEX(LD_GR,C61),INDEX(LD_GR,C61)+D61*(INDEX(LD_GR,C61+1)-INDEX(LD_GR,C61))),NA()))</f>
        <v>59.1</v>
      </c>
      <c r="G61" s="0">
        <f>IF(C61=0,NA(),IF(AND(IF(ISNUMBER(INDEX(LD_RS,C61)),AND(INDEX(LD_RS,C61)&lt;&gt;LD_Null,INDEX(LD_RS,C61)&gt;0),FALSE),OR(D61=0,IF(ISNUMBER(INDEX(LD_RS,C61+1)),AND(INDEX(LD_RS,C61+1)&lt;&gt;LD_Null,INDEX(LD_RS,C61+1)&gt;0),FALSE))),IF(D61=0,INDEX(LD_RS,C61),INDEX(LD_RS,C61)+D61*(INDEX(LD_RS,C61+1)-INDEX(LD_RS,C61))),NA()))</f>
        <v>5.69</v>
      </c>
      <c r="H61" s="0">
        <f>IF(C61=0,NA(),IF(AND(IF(ISNUMBER(INDEX(LD_RM,C61)),AND(INDEX(LD_RM,C61)&lt;&gt;LD_Null,INDEX(LD_RM,C61)&gt;0),FALSE),OR(D61=0,IF(ISNUMBER(INDEX(LD_RM,C61+1)),AND(INDEX(LD_RM,C61+1)&lt;&gt;LD_Null,INDEX(LD_RM,C61+1)&gt;0),FALSE))),IF(D61=0,INDEX(LD_RM,C61),INDEX(LD_RM,C61)+D61*(INDEX(LD_RM,C61+1)-INDEX(LD_RM,C61))),NA()))</f>
        <v>9.53</v>
      </c>
      <c r="I61" s="0">
        <f>IF(C61=0,NA(),IF(AND(IF(ISNUMBER(INDEX(LD_RD,C61)),AND(INDEX(LD_RD,C61)&lt;&gt;LD_Null,INDEX(LD_RD,C61)&gt;0),FALSE),OR(D61=0,IF(ISNUMBER(INDEX(LD_RD,C61+1)),AND(INDEX(LD_RD,C61+1)&lt;&gt;LD_Null,INDEX(LD_RD,C61+1)&gt;0),FALSE))),IF(D61=0,INDEX(LD_RD,C61),INDEX(LD_RD,C61)+D61*(INDEX(LD_RD,C61+1)-INDEX(LD_RD,C61))),NA()))</f>
        <v>12.6</v>
      </c>
      <c r="J61" s="19">
        <f>IF(ISNUMBER(F61),MAX(0,MIN(1,(F61-LD_GRClean)/(LD_GRShale-LD_GRClean))),NA())</f>
        <v>0.3423529411764706</v>
      </c>
      <c r="K61" s="19">
        <f>IF(ISNUMBER(E61),(MAX(LD_SPMin,MIN(E61,LD_SPBase))-LD_SPMin)/(LD_SPMax-LD_SPMin),NA())</f>
        <v>0.47600000000000003</v>
      </c>
      <c r="L61" s="19">
        <f>IF(ISNUMBER(E61),(LD_SPBase-MAX(LD_SPMin,MIN(E61,LD_SPBase)))/(LD_SPMax-LD_SPMin),NA())</f>
        <v>0.374</v>
      </c>
      <c r="M61" s="19">
        <f>IF(ISNUMBER(E61),(MIN(LD_SPMax,MAX(E61,LD_SPBase))-LD_SPBase)/(LD_SPMax-LD_SPMin),NA())</f>
        <v>0</v>
      </c>
      <c r="N61" s="19">
        <f>IF(ISNUMBER(F61),MAX(0,MIN(1,(F61-LD_GRMin)/(LD_GRMax-LD_GRMin))),NA())</f>
        <v>0.394</v>
      </c>
      <c r="O61" s="0">
        <f>IF(ISNUMBER(F61),(F61&gt;=LD_GRB1)+(F61&gt;=LD_GRB2)+(F61&gt;=LD_GRB3)+(F61&gt;=LD_GRB4),NA())</f>
        <v>1</v>
      </c>
      <c r="P61" s="19">
        <f>IF(ISNUMBER(O61),IF(O61=0,N61,0),NA())</f>
        <v>0</v>
      </c>
      <c r="Q61" s="19">
        <f>IF(ISNUMBER(O61),IF(O61=1,N61,0),NA())</f>
        <v>0.394</v>
      </c>
      <c r="R61" s="19">
        <f>IF(ISNUMBER(O61),IF(O61=2,N61,0),NA())</f>
        <v>0</v>
      </c>
      <c r="S61" s="19">
        <f>IF(ISNUMBER(O61),IF(O61=3,N61,0),NA())</f>
        <v>0</v>
      </c>
      <c r="T61" s="19">
        <f>IF(ISNUMBER(O61),IF(O61=4,N61,0),NA())</f>
        <v>0</v>
      </c>
      <c r="U61" s="19">
        <f>IF(ISNUMBER(G61),MAX(0,MIN(1,(LOG10(G61)-LD_RLog0)/LD_RSpan)),NA())</f>
        <v>0.3635205676827725</v>
      </c>
      <c r="V61" s="19">
        <f>IF(ISNUMBER(H61),MAX(0,MIN(1,(LOG10(H61)-LD_RLog0)/LD_RSpan)),NA())</f>
        <v>0.41951572624358624</v>
      </c>
      <c r="W61" s="19">
        <f>IF(ISNUMBER(I61),MAX(0,MIN(1,(LOG10(I61)-LD_RLog0)/LD_RSpan)),NA())</f>
        <v>0.4498351373633954</v>
      </c>
      <c r="Y61" s="19"/>
      <c r="Z61" s="19"/>
      <c r="AA61" s="19">
        <f>MAX(0,MIN(1,(LD_Dec0+2+LOG10(9)-LD_RLog0)/LD_RSpan))</f>
        <v>0.6633031284438359</v>
      </c>
      <c r="AB61" s="19">
        <v>-1.5</v>
      </c>
    </row>
    <row r="62">
      <c r="A62" s="0">
        <v>48</v>
      </c>
      <c r="B62" s="18">
        <f>LD_Top+(A62+0.5)*LD_Step</f>
        <v>5048.5</v>
      </c>
      <c r="C62" s="0">
        <f>IF(OR(LD_N&lt;2,B62&lt;LD_First,B62&gt;LD_Last),0,MIN(MATCH(B62,LD_Depth,1),LD_N-1))</f>
        <v>98</v>
      </c>
      <c r="D62" s="19">
        <f>IF(C62=0,0,(B62-INDEX(LD_Depth,C62))/(INDEX(LD_Depth,C62+1)-INDEX(LD_Depth,C62)))</f>
        <v>0</v>
      </c>
      <c r="E62" s="0">
        <f>IF(C62=0,NA(),IF(AND(IF(ISNUMBER(INDEX(LD_SP,C62)),INDEX(LD_SP,C62)&lt;&gt;LD_Null,FALSE),OR(D62=0,IF(ISNUMBER(INDEX(LD_SP,C62+1)),INDEX(LD_SP,C62+1)&lt;&gt;LD_Null,FALSE))),IF(D62=0,INDEX(LD_SP,C62),INDEX(LD_SP,C62)+D62*(INDEX(LD_SP,C62+1)-INDEX(LD_SP,C62))),NA()))</f>
        <v>-51.1</v>
      </c>
      <c r="F62" s="0">
        <f>IF(C62=0,NA(),IF(AND(IF(ISNUMBER(INDEX(LD_GR,C62)),INDEX(LD_GR,C62)&lt;&gt;LD_Null,FALSE),OR(D62=0,IF(ISNUMBER(INDEX(LD_GR,C62+1)),INDEX(LD_GR,C62+1)&lt;&gt;LD_Null,FALSE))),IF(D62=0,INDEX(LD_GR,C62),INDEX(LD_GR,C62)+D62*(INDEX(LD_GR,C62+1)-INDEX(LD_GR,C62))),NA()))</f>
        <v>62.6</v>
      </c>
      <c r="G62" s="0">
        <f>IF(C62=0,NA(),IF(AND(IF(ISNUMBER(INDEX(LD_RS,C62)),AND(INDEX(LD_RS,C62)&lt;&gt;LD_Null,INDEX(LD_RS,C62)&gt;0),FALSE),OR(D62=0,IF(ISNUMBER(INDEX(LD_RS,C62+1)),AND(INDEX(LD_RS,C62+1)&lt;&gt;LD_Null,INDEX(LD_RS,C62+1)&gt;0),FALSE))),IF(D62=0,INDEX(LD_RS,C62),INDEX(LD_RS,C62)+D62*(INDEX(LD_RS,C62+1)-INDEX(LD_RS,C62))),NA()))</f>
        <v>5.06</v>
      </c>
      <c r="H62" s="0">
        <f>IF(C62=0,NA(),IF(AND(IF(ISNUMBER(INDEX(LD_RM,C62)),AND(INDEX(LD_RM,C62)&lt;&gt;LD_Null,INDEX(LD_RM,C62)&gt;0),FALSE),OR(D62=0,IF(ISNUMBER(INDEX(LD_RM,C62+1)),AND(INDEX(LD_RM,C62+1)&lt;&gt;LD_Null,INDEX(LD_RM,C62+1)&gt;0),FALSE))),IF(D62=0,INDEX(LD_RM,C62),INDEX(LD_RM,C62)+D62*(INDEX(LD_RM,C62+1)-INDEX(LD_RM,C62))),NA()))</f>
        <v>6.31</v>
      </c>
      <c r="I62" s="0">
        <f>IF(C62=0,NA(),IF(AND(IF(ISNUMBER(INDEX(LD_RD,C62)),AND(INDEX(LD_RD,C62)&lt;&gt;LD_Null,INDEX(LD_RD,C62)&gt;0),FALSE),OR(D62=0,IF(ISNUMBER(INDEX(LD_RD,C62+1)),AND(INDEX(LD_RD,C62+1)&lt;&gt;LD_Null,INDEX(LD_RD,C62+1)&gt;0),FALSE))),IF(D62=0,INDEX(LD_RD,C62),INDEX(LD_RD,C62)+D62*(INDEX(LD_RD,C62+1)-INDEX(LD_RD,C62))),NA()))</f>
        <v>6.83</v>
      </c>
      <c r="J62" s="19">
        <f>IF(ISNUMBER(F62),MAX(0,MIN(1,(F62-LD_GRClean)/(LD_GRShale-LD_GRClean))),NA())</f>
        <v>0.3835294117647059</v>
      </c>
      <c r="K62" s="19">
        <f>IF(ISNUMBER(E62),(MAX(LD_SPMin,MIN(E62,LD_SPBase))-LD_SPMin)/(LD_SPMax-LD_SPMin),NA())</f>
        <v>0.489</v>
      </c>
      <c r="L62" s="19">
        <f>IF(ISNUMBER(E62),(LD_SPBase-MAX(LD_SPMin,MIN(E62,LD_SPBase)))/(LD_SPMax-LD_SPMin),NA())</f>
        <v>0.361</v>
      </c>
      <c r="M62" s="19">
        <f>IF(ISNUMBER(E62),(MIN(LD_SPMax,MAX(E62,LD_SPBase))-LD_SPBase)/(LD_SPMax-LD_SPMin),NA())</f>
        <v>0</v>
      </c>
      <c r="N62" s="19">
        <f>IF(ISNUMBER(F62),MAX(0,MIN(1,(F62-LD_GRMin)/(LD_GRMax-LD_GRMin))),NA())</f>
        <v>0.41733333333333333</v>
      </c>
      <c r="O62" s="0">
        <f>IF(ISNUMBER(F62),(F62&gt;=LD_GRB1)+(F62&gt;=LD_GRB2)+(F62&gt;=LD_GRB3)+(F62&gt;=LD_GRB4),NA())</f>
        <v>1</v>
      </c>
      <c r="P62" s="19">
        <f>IF(ISNUMBER(O62),IF(O62=0,N62,0),NA())</f>
        <v>0</v>
      </c>
      <c r="Q62" s="19">
        <f>IF(ISNUMBER(O62),IF(O62=1,N62,0),NA())</f>
        <v>0.41733333333333333</v>
      </c>
      <c r="R62" s="19">
        <f>IF(ISNUMBER(O62),IF(O62=2,N62,0),NA())</f>
        <v>0</v>
      </c>
      <c r="S62" s="19">
        <f>IF(ISNUMBER(O62),IF(O62=3,N62,0),NA())</f>
        <v>0</v>
      </c>
      <c r="T62" s="19">
        <f>IF(ISNUMBER(O62),IF(O62=4,N62,0),NA())</f>
        <v>0</v>
      </c>
      <c r="U62" s="19">
        <f>IF(ISNUMBER(G62),MAX(0,MIN(1,(LOG10(G62)-LD_RLog0)/LD_RSpan)),NA())</f>
        <v>0.3507801302939545</v>
      </c>
      <c r="V62" s="19">
        <f>IF(ISNUMBER(H62),MAX(0,MIN(1,(LOG10(H62)-LD_RLog0)/LD_RSpan)),NA())</f>
        <v>0.37474984089503827</v>
      </c>
      <c r="W62" s="19">
        <f>IF(ISNUMBER(I62),MAX(0,MIN(1,(LOG10(I62)-LD_RLog0)/LD_RSpan)),NA())</f>
        <v>0.3833476770043878</v>
      </c>
      <c r="Y62" s="19"/>
      <c r="Z62" s="19"/>
      <c r="AA62" s="19">
        <f>MAX(0,MIN(1,(LD_Dec0+3+LOG10(2)-LD_RLog0)/LD_RSpan))</f>
        <v>0.75</v>
      </c>
      <c r="AB62" s="19">
        <v>-1.5</v>
      </c>
    </row>
    <row r="63">
      <c r="A63" s="0">
        <v>49</v>
      </c>
      <c r="B63" s="18">
        <f>LD_Top+(A63+0.5)*LD_Step</f>
        <v>5049.5</v>
      </c>
      <c r="C63" s="0">
        <f>IF(OR(LD_N&lt;2,B63&lt;LD_First,B63&gt;LD_Last),0,MIN(MATCH(B63,LD_Depth,1),LD_N-1))</f>
        <v>100</v>
      </c>
      <c r="D63" s="19">
        <f>IF(C63=0,0,(B63-INDEX(LD_Depth,C63))/(INDEX(LD_Depth,C63+1)-INDEX(LD_Depth,C63)))</f>
        <v>0</v>
      </c>
      <c r="E63" s="0">
        <f>IF(C63=0,NA(),IF(AND(IF(ISNUMBER(INDEX(LD_SP,C63)),INDEX(LD_SP,C63)&lt;&gt;LD_Null,FALSE),OR(D63=0,IF(ISNUMBER(INDEX(LD_SP,C63+1)),INDEX(LD_SP,C63+1)&lt;&gt;LD_Null,FALSE))),IF(D63=0,INDEX(LD_SP,C63),INDEX(LD_SP,C63)+D63*(INDEX(LD_SP,C63+1)-INDEX(LD_SP,C63))),NA()))</f>
        <v>-49.7</v>
      </c>
      <c r="F63" s="0">
        <f>IF(C63=0,NA(),IF(AND(IF(ISNUMBER(INDEX(LD_GR,C63)),INDEX(LD_GR,C63)&lt;&gt;LD_Null,FALSE),OR(D63=0,IF(ISNUMBER(INDEX(LD_GR,C63+1)),INDEX(LD_GR,C63+1)&lt;&gt;LD_Null,FALSE))),IF(D63=0,INDEX(LD_GR,C63),INDEX(LD_GR,C63)+D63*(INDEX(LD_GR,C63+1)-INDEX(LD_GR,C63))),NA()))</f>
        <v>66.8</v>
      </c>
      <c r="G63" s="0">
        <f>IF(C63=0,NA(),IF(AND(IF(ISNUMBER(INDEX(LD_RS,C63)),AND(INDEX(LD_RS,C63)&lt;&gt;LD_Null,INDEX(LD_RS,C63)&gt;0),FALSE),OR(D63=0,IF(ISNUMBER(INDEX(LD_RS,C63+1)),AND(INDEX(LD_RS,C63+1)&lt;&gt;LD_Null,INDEX(LD_RS,C63+1)&gt;0),FALSE))),IF(D63=0,INDEX(LD_RS,C63),INDEX(LD_RS,C63)+D63*(INDEX(LD_RS,C63+1)-INDEX(LD_RS,C63))),NA()))</f>
        <v>3.82</v>
      </c>
      <c r="H63" s="0">
        <f>IF(C63=0,NA(),IF(AND(IF(ISNUMBER(INDEX(LD_RM,C63)),AND(INDEX(LD_RM,C63)&lt;&gt;LD_Null,INDEX(LD_RM,C63)&gt;0),FALSE),OR(D63=0,IF(ISNUMBER(INDEX(LD_RM,C63+1)),AND(INDEX(LD_RM,C63+1)&lt;&gt;LD_Null,INDEX(LD_RM,C63+1)&gt;0),FALSE))),IF(D63=0,INDEX(LD_RM,C63),INDEX(LD_RM,C63)+D63*(INDEX(LD_RM,C63+1)-INDEX(LD_RM,C63))),NA()))</f>
        <v>3.03</v>
      </c>
      <c r="I63" s="0">
        <f>IF(C63=0,NA(),IF(AND(IF(ISNUMBER(INDEX(LD_RD,C63)),AND(INDEX(LD_RD,C63)&lt;&gt;LD_Null,INDEX(LD_RD,C63)&gt;0),FALSE),OR(D63=0,IF(ISNUMBER(INDEX(LD_RD,C63+1)),AND(INDEX(LD_RD,C63+1)&lt;&gt;LD_Null,INDEX(LD_RD,C63+1)&gt;0),FALSE))),IF(D63=0,INDEX(LD_RD,C63),INDEX(LD_RD,C63)+D63*(INDEX(LD_RD,C63+1)-INDEX(LD_RD,C63))),NA()))</f>
        <v>2.78</v>
      </c>
      <c r="J63" s="19">
        <f>IF(ISNUMBER(F63),MAX(0,MIN(1,(F63-LD_GRClean)/(LD_GRShale-LD_GRClean))),NA())</f>
        <v>0.4329411764705882</v>
      </c>
      <c r="K63" s="19">
        <f>IF(ISNUMBER(E63),(MAX(LD_SPMin,MIN(E63,LD_SPBase))-LD_SPMin)/(LD_SPMax-LD_SPMin),NA())</f>
        <v>0.503</v>
      </c>
      <c r="L63" s="19">
        <f>IF(ISNUMBER(E63),(LD_SPBase-MAX(LD_SPMin,MIN(E63,LD_SPBase)))/(LD_SPMax-LD_SPMin),NA())</f>
        <v>0.34700000000000003</v>
      </c>
      <c r="M63" s="19">
        <f>IF(ISNUMBER(E63),(MIN(LD_SPMax,MAX(E63,LD_SPBase))-LD_SPBase)/(LD_SPMax-LD_SPMin),NA())</f>
        <v>0</v>
      </c>
      <c r="N63" s="19">
        <f>IF(ISNUMBER(F63),MAX(0,MIN(1,(F63-LD_GRMin)/(LD_GRMax-LD_GRMin))),NA())</f>
        <v>0.4453333333333333</v>
      </c>
      <c r="O63" s="0">
        <f>IF(ISNUMBER(F63),(F63&gt;=LD_GRB1)+(F63&gt;=LD_GRB2)+(F63&gt;=LD_GRB3)+(F63&gt;=LD_GRB4),NA())</f>
        <v>2</v>
      </c>
      <c r="P63" s="19">
        <f>IF(ISNUMBER(O63),IF(O63=0,N63,0),NA())</f>
        <v>0</v>
      </c>
      <c r="Q63" s="19">
        <f>IF(ISNUMBER(O63),IF(O63=1,N63,0),NA())</f>
        <v>0</v>
      </c>
      <c r="R63" s="19">
        <f>IF(ISNUMBER(O63),IF(O63=2,N63,0),NA())</f>
        <v>0.4453333333333333</v>
      </c>
      <c r="S63" s="19">
        <f>IF(ISNUMBER(O63),IF(O63=3,N63,0),NA())</f>
        <v>0</v>
      </c>
      <c r="T63" s="19">
        <f>IF(ISNUMBER(O63),IF(O63=4,N63,0),NA())</f>
        <v>0</v>
      </c>
      <c r="U63" s="19">
        <f>IF(ISNUMBER(G63),MAX(0,MIN(1,(LOG10(G63)-LD_RLog0)/LD_RSpan)),NA())</f>
        <v>0.32025834181193186</v>
      </c>
      <c r="V63" s="19">
        <f>IF(ISNUMBER(H63),MAX(0,MIN(1,(LOG10(H63)-LD_RLog0)/LD_RSpan)),NA())</f>
        <v>0.29510315820958094</v>
      </c>
      <c r="W63" s="19">
        <f>IF(ISNUMBER(I63),MAX(0,MIN(1,(LOG10(I63)-LD_RLog0)/LD_RSpan)),NA())</f>
        <v>0.28575370006352374</v>
      </c>
      <c r="Y63" s="19"/>
      <c r="Z63" s="19"/>
      <c r="AA63" s="19">
        <f>MAX(0,MIN(1,(LD_Dec0+3+LOG10(2)-LD_RLog0)/LD_RSpan))</f>
        <v>0.75</v>
      </c>
      <c r="AB63" s="19">
        <v>120.5</v>
      </c>
    </row>
    <row r="64">
      <c r="A64" s="0">
        <v>50</v>
      </c>
      <c r="B64" s="18">
        <f>LD_Top+(A64+0.5)*LD_Step</f>
        <v>5050.5</v>
      </c>
      <c r="C64" s="0">
        <f>IF(OR(LD_N&lt;2,B64&lt;LD_First,B64&gt;LD_Last),0,MIN(MATCH(B64,LD_Depth,1),LD_N-1))</f>
        <v>102</v>
      </c>
      <c r="D64" s="19">
        <f>IF(C64=0,0,(B64-INDEX(LD_Depth,C64))/(INDEX(LD_Depth,C64+1)-INDEX(LD_Depth,C64)))</f>
        <v>0</v>
      </c>
      <c r="E64" s="0">
        <f>IF(C64=0,NA(),IF(AND(IF(ISNUMBER(INDEX(LD_SP,C64)),INDEX(LD_SP,C64)&lt;&gt;LD_Null,FALSE),OR(D64=0,IF(ISNUMBER(INDEX(LD_SP,C64+1)),INDEX(LD_SP,C64+1)&lt;&gt;LD_Null,FALSE))),IF(D64=0,INDEX(LD_SP,C64),INDEX(LD_SP,C64)+D64*(INDEX(LD_SP,C64+1)-INDEX(LD_SP,C64))),NA()))</f>
        <v>-51</v>
      </c>
      <c r="F64" s="0">
        <f>IF(C64=0,NA(),IF(AND(IF(ISNUMBER(INDEX(LD_GR,C64)),INDEX(LD_GR,C64)&lt;&gt;LD_Null,FALSE),OR(D64=0,IF(ISNUMBER(INDEX(LD_GR,C64+1)),INDEX(LD_GR,C64+1)&lt;&gt;LD_Null,FALSE))),IF(D64=0,INDEX(LD_GR,C64),INDEX(LD_GR,C64)+D64*(INDEX(LD_GR,C64+1)-INDEX(LD_GR,C64))),NA()))</f>
        <v>61.6</v>
      </c>
      <c r="G64" s="0">
        <f>IF(C64=0,NA(),IF(AND(IF(ISNUMBER(INDEX(LD_RS,C64)),AND(INDEX(LD_RS,C64)&lt;&gt;LD_Null,INDEX(LD_RS,C64)&gt;0),FALSE),OR(D64=0,IF(ISNUMBER(INDEX(LD_RS,C64+1)),AND(INDEX(LD_RS,C64+1)&lt;&gt;LD_Null,INDEX(LD_RS,C64+1)&gt;0),FALSE))),IF(D64=0,INDEX(LD_RS,C64),INDEX(LD_RS,C64)+D64*(INDEX(LD_RS,C64+1)-INDEX(LD_RS,C64))),NA()))</f>
        <v>3.41</v>
      </c>
      <c r="H64" s="0">
        <f>IF(C64=0,NA(),IF(AND(IF(ISNUMBER(INDEX(LD_RM,C64)),AND(INDEX(LD_RM,C64)&lt;&gt;LD_Null,INDEX(LD_RM,C64)&gt;0),FALSE),OR(D64=0,IF(ISNUMBER(INDEX(LD_RM,C64+1)),AND(INDEX(LD_RM,C64+1)&lt;&gt;LD_Null,INDEX(LD_RM,C64+1)&gt;0),FALSE))),IF(D64=0,INDEX(LD_RM,C64),INDEX(LD_RM,C64)+D64*(INDEX(LD_RM,C64+1)-INDEX(LD_RM,C64))),NA()))</f>
        <v>1.99</v>
      </c>
      <c r="I64" s="0">
        <f>IF(C64=0,NA(),IF(AND(IF(ISNUMBER(INDEX(LD_RD,C64)),AND(INDEX(LD_RD,C64)&lt;&gt;LD_Null,INDEX(LD_RD,C64)&gt;0),FALSE),OR(D64=0,IF(ISNUMBER(INDEX(LD_RD,C64+1)),AND(INDEX(LD_RD,C64+1)&lt;&gt;LD_Null,INDEX(LD_RD,C64+1)&gt;0),FALSE))),IF(D64=0,INDEX(LD_RD,C64),INDEX(LD_RD,C64)+D64*(INDEX(LD_RD,C64+1)-INDEX(LD_RD,C64))),NA()))</f>
        <v>1.61</v>
      </c>
      <c r="J64" s="19">
        <f>IF(ISNUMBER(F64),MAX(0,MIN(1,(F64-LD_GRClean)/(LD_GRShale-LD_GRClean))),NA())</f>
        <v>0.37176470588235294</v>
      </c>
      <c r="K64" s="19">
        <f>IF(ISNUMBER(E64),(MAX(LD_SPMin,MIN(E64,LD_SPBase))-LD_SPMin)/(LD_SPMax-LD_SPMin),NA())</f>
        <v>0.49</v>
      </c>
      <c r="L64" s="19">
        <f>IF(ISNUMBER(E64),(LD_SPBase-MAX(LD_SPMin,MIN(E64,LD_SPBase)))/(LD_SPMax-LD_SPMin),NA())</f>
        <v>0.36</v>
      </c>
      <c r="M64" s="19">
        <f>IF(ISNUMBER(E64),(MIN(LD_SPMax,MAX(E64,LD_SPBase))-LD_SPBase)/(LD_SPMax-LD_SPMin),NA())</f>
        <v>0</v>
      </c>
      <c r="N64" s="19">
        <f>IF(ISNUMBER(F64),MAX(0,MIN(1,(F64-LD_GRMin)/(LD_GRMax-LD_GRMin))),NA())</f>
        <v>0.4106666666666667</v>
      </c>
      <c r="O64" s="0">
        <f>IF(ISNUMBER(F64),(F64&gt;=LD_GRB1)+(F64&gt;=LD_GRB2)+(F64&gt;=LD_GRB3)+(F64&gt;=LD_GRB4),NA())</f>
        <v>1</v>
      </c>
      <c r="P64" s="19">
        <f>IF(ISNUMBER(O64),IF(O64=0,N64,0),NA())</f>
        <v>0</v>
      </c>
      <c r="Q64" s="19">
        <f>IF(ISNUMBER(O64),IF(O64=1,N64,0),NA())</f>
        <v>0.4106666666666667</v>
      </c>
      <c r="R64" s="19">
        <f>IF(ISNUMBER(O64),IF(O64=2,N64,0),NA())</f>
        <v>0</v>
      </c>
      <c r="S64" s="19">
        <f>IF(ISNUMBER(O64),IF(O64=3,N64,0),NA())</f>
        <v>0</v>
      </c>
      <c r="T64" s="19">
        <f>IF(ISNUMBER(O64),IF(O64=4,N64,0),NA())</f>
        <v>0</v>
      </c>
      <c r="U64" s="19">
        <f>IF(ISNUMBER(G64),MAX(0,MIN(1,(LOG10(G64)-LD_RLog0)/LD_RSpan)),NA())</f>
        <v>0.30793109583212913</v>
      </c>
      <c r="V64" s="19">
        <f>IF(ISNUMBER(H64),MAX(0,MIN(1,(LOG10(H64)-LD_RLog0)/LD_RSpan)),NA())</f>
        <v>0.24945577018643134</v>
      </c>
      <c r="W64" s="19">
        <f>IF(ISNUMBER(I64),MAX(0,MIN(1,(LOG10(I64)-LD_RLog0)/LD_RSpan)),NA())</f>
        <v>0.22644897009196713</v>
      </c>
      <c r="Y64" s="19"/>
      <c r="Z64" s="19"/>
      <c r="AA64" s="19">
        <f>MAX(0,MIN(1,(LD_Dec0+3+LOG10(3)-LD_RLog0)/LD_RSpan))</f>
        <v>0.7940228147639203</v>
      </c>
      <c r="AB64" s="19">
        <v>120.5</v>
      </c>
    </row>
    <row r="65">
      <c r="A65" s="0">
        <v>51</v>
      </c>
      <c r="B65" s="18">
        <f>LD_Top+(A65+0.5)*LD_Step</f>
        <v>5051.5</v>
      </c>
      <c r="C65" s="0">
        <f>IF(OR(LD_N&lt;2,B65&lt;LD_First,B65&gt;LD_Last),0,MIN(MATCH(B65,LD_Depth,1),LD_N-1))</f>
        <v>104</v>
      </c>
      <c r="D65" s="19">
        <f>IF(C65=0,0,(B65-INDEX(LD_Depth,C65))/(INDEX(LD_Depth,C65+1)-INDEX(LD_Depth,C65)))</f>
        <v>0</v>
      </c>
      <c r="E65" s="0">
        <f>IF(C65=0,NA(),IF(AND(IF(ISNUMBER(INDEX(LD_SP,C65)),INDEX(LD_SP,C65)&lt;&gt;LD_Null,FALSE),OR(D65=0,IF(ISNUMBER(INDEX(LD_SP,C65+1)),INDEX(LD_SP,C65+1)&lt;&gt;LD_Null,FALSE))),IF(D65=0,INDEX(LD_SP,C65),INDEX(LD_SP,C65)+D65*(INDEX(LD_SP,C65+1)-INDEX(LD_SP,C65))),NA()))</f>
        <v>-50.7</v>
      </c>
      <c r="F65" s="0">
        <f>IF(C65=0,NA(),IF(AND(IF(ISNUMBER(INDEX(LD_GR,C65)),INDEX(LD_GR,C65)&lt;&gt;LD_Null,FALSE),OR(D65=0,IF(ISNUMBER(INDEX(LD_GR,C65+1)),INDEX(LD_GR,C65+1)&lt;&gt;LD_Null,FALSE))),IF(D65=0,INDEX(LD_GR,C65),INDEX(LD_GR,C65)+D65*(INDEX(LD_GR,C65+1)-INDEX(LD_GR,C65))),NA()))</f>
        <v>62.8</v>
      </c>
      <c r="G65" s="0">
        <f>IF(C65=0,NA(),IF(AND(IF(ISNUMBER(INDEX(LD_RS,C65)),AND(INDEX(LD_RS,C65)&lt;&gt;LD_Null,INDEX(LD_RS,C65)&gt;0),FALSE),OR(D65=0,IF(ISNUMBER(INDEX(LD_RS,C65+1)),AND(INDEX(LD_RS,C65+1)&lt;&gt;LD_Null,INDEX(LD_RS,C65+1)&gt;0),FALSE))),IF(D65=0,INDEX(LD_RS,C65),INDEX(LD_RS,C65)+D65*(INDEX(LD_RS,C65+1)-INDEX(LD_RS,C65))),NA()))</f>
        <v>3.37</v>
      </c>
      <c r="H65" s="0">
        <f>IF(C65=0,NA(),IF(AND(IF(ISNUMBER(INDEX(LD_RM,C65)),AND(INDEX(LD_RM,C65)&lt;&gt;LD_Null,INDEX(LD_RM,C65)&gt;0),FALSE),OR(D65=0,IF(ISNUMBER(INDEX(LD_RM,C65+1)),AND(INDEX(LD_RM,C65+1)&lt;&gt;LD_Null,INDEX(LD_RM,C65+1)&gt;0),FALSE))),IF(D65=0,INDEX(LD_RM,C65),INDEX(LD_RM,C65)+D65*(INDEX(LD_RM,C65+1)-INDEX(LD_RM,C65))),NA()))</f>
        <v>1.95</v>
      </c>
      <c r="I65" s="0">
        <f>IF(C65=0,NA(),IF(AND(IF(ISNUMBER(INDEX(LD_RD,C65)),AND(INDEX(LD_RD,C65)&lt;&gt;LD_Null,INDEX(LD_RD,C65)&gt;0),FALSE),OR(D65=0,IF(ISNUMBER(INDEX(LD_RD,C65+1)),AND(INDEX(LD_RD,C65+1)&lt;&gt;LD_Null,INDEX(LD_RD,C65+1)&gt;0),FALSE))),IF(D65=0,INDEX(LD_RD,C65),INDEX(LD_RD,C65)+D65*(INDEX(LD_RD,C65+1)-INDEX(LD_RD,C65))),NA()))</f>
        <v>1.3</v>
      </c>
      <c r="J65" s="19">
        <f>IF(ISNUMBER(F65),MAX(0,MIN(1,(F65-LD_GRClean)/(LD_GRShale-LD_GRClean))),NA())</f>
        <v>0.38588235294117645</v>
      </c>
      <c r="K65" s="19">
        <f>IF(ISNUMBER(E65),(MAX(LD_SPMin,MIN(E65,LD_SPBase))-LD_SPMin)/(LD_SPMax-LD_SPMin),NA())</f>
        <v>0.493</v>
      </c>
      <c r="L65" s="19">
        <f>IF(ISNUMBER(E65),(LD_SPBase-MAX(LD_SPMin,MIN(E65,LD_SPBase)))/(LD_SPMax-LD_SPMin),NA())</f>
        <v>0.35700000000000004</v>
      </c>
      <c r="M65" s="19">
        <f>IF(ISNUMBER(E65),(MIN(LD_SPMax,MAX(E65,LD_SPBase))-LD_SPBase)/(LD_SPMax-LD_SPMin),NA())</f>
        <v>0</v>
      </c>
      <c r="N65" s="19">
        <f>IF(ISNUMBER(F65),MAX(0,MIN(1,(F65-LD_GRMin)/(LD_GRMax-LD_GRMin))),NA())</f>
        <v>0.41866666666666663</v>
      </c>
      <c r="O65" s="0">
        <f>IF(ISNUMBER(F65),(F65&gt;=LD_GRB1)+(F65&gt;=LD_GRB2)+(F65&gt;=LD_GRB3)+(F65&gt;=LD_GRB4),NA())</f>
        <v>1</v>
      </c>
      <c r="P65" s="19">
        <f>IF(ISNUMBER(O65),IF(O65=0,N65,0),NA())</f>
        <v>0</v>
      </c>
      <c r="Q65" s="19">
        <f>IF(ISNUMBER(O65),IF(O65=1,N65,0),NA())</f>
        <v>0.41866666666666663</v>
      </c>
      <c r="R65" s="19">
        <f>IF(ISNUMBER(O65),IF(O65=2,N65,0),NA())</f>
        <v>0</v>
      </c>
      <c r="S65" s="19">
        <f>IF(ISNUMBER(O65),IF(O65=3,N65,0),NA())</f>
        <v>0</v>
      </c>
      <c r="T65" s="19">
        <f>IF(ISNUMBER(O65),IF(O65=4,N65,0),NA())</f>
        <v>0</v>
      </c>
      <c r="U65" s="19">
        <f>IF(ISNUMBER(G65),MAX(0,MIN(1,(LOG10(G65)-LD_RLog0)/LD_RSpan)),NA())</f>
        <v>0.3066499763018393</v>
      </c>
      <c r="V65" s="19">
        <f>IF(ISNUMBER(H65),MAX(0,MIN(1,(LOG10(H65)-LD_RLog0)/LD_RSpan)),NA())</f>
        <v>0.2472511539246342</v>
      </c>
      <c r="W65" s="19">
        <f>IF(ISNUMBER(I65),MAX(0,MIN(1,(LOG10(I65)-LD_RLog0)/LD_RSpan)),NA())</f>
        <v>0.20322833916071387</v>
      </c>
      <c r="Y65" s="19"/>
      <c r="Z65" s="19"/>
      <c r="AA65" s="19">
        <f>MAX(0,MIN(1,(LD_Dec0+3+LOG10(3)-LD_RLog0)/LD_RSpan))</f>
        <v>0.7940228147639203</v>
      </c>
      <c r="AB65" s="19">
        <v>-1.5</v>
      </c>
    </row>
    <row r="66">
      <c r="A66" s="0">
        <v>52</v>
      </c>
      <c r="B66" s="18">
        <f>LD_Top+(A66+0.5)*LD_Step</f>
        <v>5052.5</v>
      </c>
      <c r="C66" s="0">
        <f>IF(OR(LD_N&lt;2,B66&lt;LD_First,B66&gt;LD_Last),0,MIN(MATCH(B66,LD_Depth,1),LD_N-1))</f>
        <v>106</v>
      </c>
      <c r="D66" s="19">
        <f>IF(C66=0,0,(B66-INDEX(LD_Depth,C66))/(INDEX(LD_Depth,C66+1)-INDEX(LD_Depth,C66)))</f>
        <v>0</v>
      </c>
      <c r="E66" s="0">
        <f>IF(C66=0,NA(),IF(AND(IF(ISNUMBER(INDEX(LD_SP,C66)),INDEX(LD_SP,C66)&lt;&gt;LD_Null,FALSE),OR(D66=0,IF(ISNUMBER(INDEX(LD_SP,C66+1)),INDEX(LD_SP,C66+1)&lt;&gt;LD_Null,FALSE))),IF(D66=0,INDEX(LD_SP,C66),INDEX(LD_SP,C66)+D66*(INDEX(LD_SP,C66+1)-INDEX(LD_SP,C66))),NA()))</f>
        <v>-48.9</v>
      </c>
      <c r="F66" s="0">
        <f>IF(C66=0,NA(),IF(AND(IF(ISNUMBER(INDEX(LD_GR,C66)),INDEX(LD_GR,C66)&lt;&gt;LD_Null,FALSE),OR(D66=0,IF(ISNUMBER(INDEX(LD_GR,C66+1)),INDEX(LD_GR,C66+1)&lt;&gt;LD_Null,FALSE))),IF(D66=0,INDEX(LD_GR,C66),INDEX(LD_GR,C66)+D66*(INDEX(LD_GR,C66+1)-INDEX(LD_GR,C66))),NA()))</f>
        <v>65.1</v>
      </c>
      <c r="G66" s="0">
        <f>IF(C66=0,NA(),IF(AND(IF(ISNUMBER(INDEX(LD_RS,C66)),AND(INDEX(LD_RS,C66)&lt;&gt;LD_Null,INDEX(LD_RS,C66)&gt;0),FALSE),OR(D66=0,IF(ISNUMBER(INDEX(LD_RS,C66+1)),AND(INDEX(LD_RS,C66+1)&lt;&gt;LD_Null,INDEX(LD_RS,C66+1)&gt;0),FALSE))),IF(D66=0,INDEX(LD_RS,C66),INDEX(LD_RS,C66)+D66*(INDEX(LD_RS,C66+1)-INDEX(LD_RS,C66))),NA()))</f>
        <v>3.29</v>
      </c>
      <c r="H66" s="0">
        <f>IF(C66=0,NA(),IF(AND(IF(ISNUMBER(INDEX(LD_RM,C66)),AND(INDEX(LD_RM,C66)&lt;&gt;LD_Null,INDEX(LD_RM,C66)&gt;0),FALSE),OR(D66=0,IF(ISNUMBER(INDEX(LD_RM,C66+1)),AND(INDEX(LD_RM,C66+1)&lt;&gt;LD_Null,INDEX(LD_RM,C66+1)&gt;0),FALSE))),IF(D66=0,INDEX(LD_RM,C66),INDEX(LD_RM,C66)+D66*(INDEX(LD_RM,C66+1)-INDEX(LD_RM,C66))),NA()))</f>
        <v>1.58</v>
      </c>
      <c r="I66" s="0">
        <f>IF(C66=0,NA(),IF(AND(IF(ISNUMBER(INDEX(LD_RD,C66)),AND(INDEX(LD_RD,C66)&lt;&gt;LD_Null,INDEX(LD_RD,C66)&gt;0),FALSE),OR(D66=0,IF(ISNUMBER(INDEX(LD_RD,C66+1)),AND(INDEX(LD_RD,C66+1)&lt;&gt;LD_Null,INDEX(LD_RD,C66+1)&gt;0),FALSE))),IF(D66=0,INDEX(LD_RD,C66),INDEX(LD_RD,C66)+D66*(INDEX(LD_RD,C66+1)-INDEX(LD_RD,C66))),NA()))</f>
        <v>1.14</v>
      </c>
      <c r="J66" s="19">
        <f>IF(ISNUMBER(F66),MAX(0,MIN(1,(F66-LD_GRClean)/(LD_GRShale-LD_GRClean))),NA())</f>
        <v>0.41294117647058814</v>
      </c>
      <c r="K66" s="19">
        <f>IF(ISNUMBER(E66),(MAX(LD_SPMin,MIN(E66,LD_SPBase))-LD_SPMin)/(LD_SPMax-LD_SPMin),NA())</f>
        <v>0.511</v>
      </c>
      <c r="L66" s="19">
        <f>IF(ISNUMBER(E66),(LD_SPBase-MAX(LD_SPMin,MIN(E66,LD_SPBase)))/(LD_SPMax-LD_SPMin),NA())</f>
        <v>0.33899999999999997</v>
      </c>
      <c r="M66" s="19">
        <f>IF(ISNUMBER(E66),(MIN(LD_SPMax,MAX(E66,LD_SPBase))-LD_SPBase)/(LD_SPMax-LD_SPMin),NA())</f>
        <v>0</v>
      </c>
      <c r="N66" s="19">
        <f>IF(ISNUMBER(F66),MAX(0,MIN(1,(F66-LD_GRMin)/(LD_GRMax-LD_GRMin))),NA())</f>
        <v>0.43399999999999994</v>
      </c>
      <c r="O66" s="0">
        <f>IF(ISNUMBER(F66),(F66&gt;=LD_GRB1)+(F66&gt;=LD_GRB2)+(F66&gt;=LD_GRB3)+(F66&gt;=LD_GRB4),NA())</f>
        <v>2</v>
      </c>
      <c r="P66" s="19">
        <f>IF(ISNUMBER(O66),IF(O66=0,N66,0),NA())</f>
        <v>0</v>
      </c>
      <c r="Q66" s="19">
        <f>IF(ISNUMBER(O66),IF(O66=1,N66,0),NA())</f>
        <v>0</v>
      </c>
      <c r="R66" s="19">
        <f>IF(ISNUMBER(O66),IF(O66=2,N66,0),NA())</f>
        <v>0.43399999999999994</v>
      </c>
      <c r="S66" s="19">
        <f>IF(ISNUMBER(O66),IF(O66=3,N66,0),NA())</f>
        <v>0</v>
      </c>
      <c r="T66" s="19">
        <f>IF(ISNUMBER(O66),IF(O66=4,N66,0),NA())</f>
        <v>0</v>
      </c>
      <c r="U66" s="19">
        <f>IF(ISNUMBER(G66),MAX(0,MIN(1,(LOG10(G66)-LD_RLog0)/LD_RSpan)),NA())</f>
        <v>0.3040414755714983</v>
      </c>
      <c r="V66" s="19">
        <f>IF(ISNUMBER(H66),MAX(0,MIN(1,(LOG10(H66)-LD_RLog0)/LD_RSpan)),NA())</f>
        <v>0.22440677282261035</v>
      </c>
      <c r="W66" s="19">
        <f>IF(ISNUMBER(I66),MAX(0,MIN(1,(LOG10(I66)-LD_RLog0)/LD_RSpan)),NA())</f>
        <v>0.1889687139181228</v>
      </c>
      <c r="Y66" s="19"/>
      <c r="Z66" s="19"/>
      <c r="AA66" s="19">
        <f>MAX(0,MIN(1,(LD_Dec0+3+LOG10(4)-LD_RLog0)/LD_RSpan))</f>
        <v>0.8252574989159953</v>
      </c>
      <c r="AB66" s="19">
        <v>-1.5</v>
      </c>
    </row>
    <row r="67">
      <c r="A67" s="0">
        <v>53</v>
      </c>
      <c r="B67" s="18">
        <f>LD_Top+(A67+0.5)*LD_Step</f>
        <v>5053.5</v>
      </c>
      <c r="C67" s="0">
        <f>IF(OR(LD_N&lt;2,B67&lt;LD_First,B67&gt;LD_Last),0,MIN(MATCH(B67,LD_Depth,1),LD_N-1))</f>
        <v>108</v>
      </c>
      <c r="D67" s="19">
        <f>IF(C67=0,0,(B67-INDEX(LD_Depth,C67))/(INDEX(LD_Depth,C67+1)-INDEX(LD_Depth,C67)))</f>
        <v>0</v>
      </c>
      <c r="E67" s="0">
        <f>IF(C67=0,NA(),IF(AND(IF(ISNUMBER(INDEX(LD_SP,C67)),INDEX(LD_SP,C67)&lt;&gt;LD_Null,FALSE),OR(D67=0,IF(ISNUMBER(INDEX(LD_SP,C67+1)),INDEX(LD_SP,C67+1)&lt;&gt;LD_Null,FALSE))),IF(D67=0,INDEX(LD_SP,C67),INDEX(LD_SP,C67)+D67*(INDEX(LD_SP,C67+1)-INDEX(LD_SP,C67))),NA()))</f>
        <v>-49.8</v>
      </c>
      <c r="F67" s="0">
        <f>IF(C67=0,NA(),IF(AND(IF(ISNUMBER(INDEX(LD_GR,C67)),INDEX(LD_GR,C67)&lt;&gt;LD_Null,FALSE),OR(D67=0,IF(ISNUMBER(INDEX(LD_GR,C67+1)),INDEX(LD_GR,C67+1)&lt;&gt;LD_Null,FALSE))),IF(D67=0,INDEX(LD_GR,C67),INDEX(LD_GR,C67)+D67*(INDEX(LD_GR,C67+1)-INDEX(LD_GR,C67))),NA()))</f>
        <v>65.2</v>
      </c>
      <c r="G67" s="0">
        <f>IF(C67=0,NA(),IF(AND(IF(ISNUMBER(INDEX(LD_RS,C67)),AND(INDEX(LD_RS,C67)&lt;&gt;LD_Null,INDEX(LD_RS,C67)&gt;0),FALSE),OR(D67=0,IF(ISNUMBER(INDEX(LD_RS,C67+1)),AND(INDEX(LD_RS,C67+1)&lt;&gt;LD_Null,INDEX(LD_RS,C67+1)&gt;0),FALSE))),IF(D67=0,INDEX(LD_RS,C67),INDEX(LD_RS,C67)+D67*(INDEX(LD_RS,C67+1)-INDEX(LD_RS,C67))),NA()))</f>
        <v>3.15</v>
      </c>
      <c r="H67" s="0">
        <f>IF(C67=0,NA(),IF(AND(IF(ISNUMBER(INDEX(LD_RM,C67)),AND(INDEX(LD_RM,C67)&lt;&gt;LD_Null,INDEX(LD_RM,C67)&gt;0),FALSE),OR(D67=0,IF(ISNUMBER(INDEX(LD_RM,C67+1)),AND(INDEX(LD_RM,C67+1)&lt;&gt;LD_Null,INDEX(LD_RM,C67+1)&gt;0),FALSE))),IF(D67=0,INDEX(LD_RM,C67),INDEX(LD_RM,C67)+D67*(INDEX(LD_RM,C67+1)-INDEX(LD_RM,C67))),NA()))</f>
        <v>1.54</v>
      </c>
      <c r="I67" s="0">
        <f>IF(C67=0,NA(),IF(AND(IF(ISNUMBER(INDEX(LD_RD,C67)),AND(INDEX(LD_RD,C67)&lt;&gt;LD_Null,INDEX(LD_RD,C67)&gt;0),FALSE),OR(D67=0,IF(ISNUMBER(INDEX(LD_RD,C67+1)),AND(INDEX(LD_RD,C67+1)&lt;&gt;LD_Null,INDEX(LD_RD,C67+1)&gt;0),FALSE))),IF(D67=0,INDEX(LD_RD,C67),INDEX(LD_RD,C67)+D67*(INDEX(LD_RD,C67+1)-INDEX(LD_RD,C67))),NA()))</f>
        <v>1.02</v>
      </c>
      <c r="J67" s="19">
        <f>IF(ISNUMBER(F67),MAX(0,MIN(1,(F67-LD_GRClean)/(LD_GRShale-LD_GRClean))),NA())</f>
        <v>0.4141176470588236</v>
      </c>
      <c r="K67" s="19">
        <f>IF(ISNUMBER(E67),(MAX(LD_SPMin,MIN(E67,LD_SPBase))-LD_SPMin)/(LD_SPMax-LD_SPMin),NA())</f>
        <v>0.502</v>
      </c>
      <c r="L67" s="19">
        <f>IF(ISNUMBER(E67),(LD_SPBase-MAX(LD_SPMin,MIN(E67,LD_SPBase)))/(LD_SPMax-LD_SPMin),NA())</f>
        <v>0.348</v>
      </c>
      <c r="M67" s="19">
        <f>IF(ISNUMBER(E67),(MIN(LD_SPMax,MAX(E67,LD_SPBase))-LD_SPBase)/(LD_SPMax-LD_SPMin),NA())</f>
        <v>0</v>
      </c>
      <c r="N67" s="19">
        <f>IF(ISNUMBER(F67),MAX(0,MIN(1,(F67-LD_GRMin)/(LD_GRMax-LD_GRMin))),NA())</f>
        <v>0.4346666666666667</v>
      </c>
      <c r="O67" s="0">
        <f>IF(ISNUMBER(F67),(F67&gt;=LD_GRB1)+(F67&gt;=LD_GRB2)+(F67&gt;=LD_GRB3)+(F67&gt;=LD_GRB4),NA())</f>
        <v>2</v>
      </c>
      <c r="P67" s="19">
        <f>IF(ISNUMBER(O67),IF(O67=0,N67,0),NA())</f>
        <v>0</v>
      </c>
      <c r="Q67" s="19">
        <f>IF(ISNUMBER(O67),IF(O67=1,N67,0),NA())</f>
        <v>0</v>
      </c>
      <c r="R67" s="19">
        <f>IF(ISNUMBER(O67),IF(O67=2,N67,0),NA())</f>
        <v>0.4346666666666667</v>
      </c>
      <c r="S67" s="19">
        <f>IF(ISNUMBER(O67),IF(O67=3,N67,0),NA())</f>
        <v>0</v>
      </c>
      <c r="T67" s="19">
        <f>IF(ISNUMBER(O67),IF(O67=4,N67,0),NA())</f>
        <v>0</v>
      </c>
      <c r="U67" s="19">
        <f>IF(ISNUMBER(G67),MAX(0,MIN(1,(LOG10(G67)-LD_RLog0)/LD_RSpan)),NA())</f>
        <v>0.2993201395314048</v>
      </c>
      <c r="V67" s="19">
        <f>IF(ISNUMBER(H67),MAX(0,MIN(1,(LOG10(H67)-LD_RLog0)/LD_RSpan)),NA())</f>
        <v>0.22162268129312046</v>
      </c>
      <c r="W67" s="19">
        <f>IF(ISNUMBER(I67),MAX(0,MIN(1,(LOG10(I67)-LD_RLog0)/LD_RSpan)),NA())</f>
        <v>0.17689254402448407</v>
      </c>
      <c r="Y67" s="19"/>
      <c r="Z67" s="19"/>
      <c r="AA67" s="19">
        <f>MAX(0,MIN(1,(LD_Dec0+3+LOG10(4)-LD_RLog0)/LD_RSpan))</f>
        <v>0.8252574989159953</v>
      </c>
      <c r="AB67" s="19">
        <v>120.5</v>
      </c>
    </row>
    <row r="68">
      <c r="A68" s="0">
        <v>54</v>
      </c>
      <c r="B68" s="18">
        <f>LD_Top+(A68+0.5)*LD_Step</f>
        <v>5054.5</v>
      </c>
      <c r="C68" s="0">
        <f>IF(OR(LD_N&lt;2,B68&lt;LD_First,B68&gt;LD_Last),0,MIN(MATCH(B68,LD_Depth,1),LD_N-1))</f>
        <v>110</v>
      </c>
      <c r="D68" s="19">
        <f>IF(C68=0,0,(B68-INDEX(LD_Depth,C68))/(INDEX(LD_Depth,C68+1)-INDEX(LD_Depth,C68)))</f>
        <v>0</v>
      </c>
      <c r="E68" s="0">
        <f>IF(C68=0,NA(),IF(AND(IF(ISNUMBER(INDEX(LD_SP,C68)),INDEX(LD_SP,C68)&lt;&gt;LD_Null,FALSE),OR(D68=0,IF(ISNUMBER(INDEX(LD_SP,C68+1)),INDEX(LD_SP,C68+1)&lt;&gt;LD_Null,FALSE))),IF(D68=0,INDEX(LD_SP,C68),INDEX(LD_SP,C68)+D68*(INDEX(LD_SP,C68+1)-INDEX(LD_SP,C68))),NA()))</f>
        <v>-50.8</v>
      </c>
      <c r="F68" s="0">
        <f>IF(C68=0,NA(),IF(AND(IF(ISNUMBER(INDEX(LD_GR,C68)),INDEX(LD_GR,C68)&lt;&gt;LD_Null,FALSE),OR(D68=0,IF(ISNUMBER(INDEX(LD_GR,C68+1)),INDEX(LD_GR,C68+1)&lt;&gt;LD_Null,FALSE))),IF(D68=0,INDEX(LD_GR,C68),INDEX(LD_GR,C68)+D68*(INDEX(LD_GR,C68+1)-INDEX(LD_GR,C68))),NA()))</f>
        <v>64.1</v>
      </c>
      <c r="G68" s="0">
        <f>IF(C68=0,NA(),IF(AND(IF(ISNUMBER(INDEX(LD_RS,C68)),AND(INDEX(LD_RS,C68)&lt;&gt;LD_Null,INDEX(LD_RS,C68)&gt;0),FALSE),OR(D68=0,IF(ISNUMBER(INDEX(LD_RS,C68+1)),AND(INDEX(LD_RS,C68+1)&lt;&gt;LD_Null,INDEX(LD_RS,C68+1)&gt;0),FALSE))),IF(D68=0,INDEX(LD_RS,C68),INDEX(LD_RS,C68)+D68*(INDEX(LD_RS,C68+1)-INDEX(LD_RS,C68))),NA()))</f>
        <v>3.09</v>
      </c>
      <c r="H68" s="0">
        <f>IF(C68=0,NA(),IF(AND(IF(ISNUMBER(INDEX(LD_RM,C68)),AND(INDEX(LD_RM,C68)&lt;&gt;LD_Null,INDEX(LD_RM,C68)&gt;0),FALSE),OR(D68=0,IF(ISNUMBER(INDEX(LD_RM,C68+1)),AND(INDEX(LD_RM,C68+1)&lt;&gt;LD_Null,INDEX(LD_RM,C68+1)&gt;0),FALSE))),IF(D68=0,INDEX(LD_RM,C68),INDEX(LD_RM,C68)+D68*(INDEX(LD_RM,C68+1)-INDEX(LD_RM,C68))),NA()))</f>
        <v>1.65</v>
      </c>
      <c r="I68" s="0">
        <f>IF(C68=0,NA(),IF(AND(IF(ISNUMBER(INDEX(LD_RD,C68)),AND(INDEX(LD_RD,C68)&lt;&gt;LD_Null,INDEX(LD_RD,C68)&gt;0),FALSE),OR(D68=0,IF(ISNUMBER(INDEX(LD_RD,C68+1)),AND(INDEX(LD_RD,C68+1)&lt;&gt;LD_Null,INDEX(LD_RD,C68+1)&gt;0),FALSE))),IF(D68=0,INDEX(LD_RD,C68),INDEX(LD_RD,C68)+D68*(INDEX(LD_RD,C68+1)-INDEX(LD_RD,C68))),NA()))</f>
        <v>1.21</v>
      </c>
      <c r="J68" s="19">
        <f>IF(ISNUMBER(F68),MAX(0,MIN(1,(F68-LD_GRClean)/(LD_GRShale-LD_GRClean))),NA())</f>
        <v>0.40117647058823525</v>
      </c>
      <c r="K68" s="19">
        <f>IF(ISNUMBER(E68),(MAX(LD_SPMin,MIN(E68,LD_SPBase))-LD_SPMin)/(LD_SPMax-LD_SPMin),NA())</f>
        <v>0.49200000000000005</v>
      </c>
      <c r="L68" s="19">
        <f>IF(ISNUMBER(E68),(LD_SPBase-MAX(LD_SPMin,MIN(E68,LD_SPBase)))/(LD_SPMax-LD_SPMin),NA())</f>
        <v>0.358</v>
      </c>
      <c r="M68" s="19">
        <f>IF(ISNUMBER(E68),(MIN(LD_SPMax,MAX(E68,LD_SPBase))-LD_SPBase)/(LD_SPMax-LD_SPMin),NA())</f>
        <v>0</v>
      </c>
      <c r="N68" s="19">
        <f>IF(ISNUMBER(F68),MAX(0,MIN(1,(F68-LD_GRMin)/(LD_GRMax-LD_GRMin))),NA())</f>
        <v>0.4273333333333333</v>
      </c>
      <c r="O68" s="0">
        <f>IF(ISNUMBER(F68),(F68&gt;=LD_GRB1)+(F68&gt;=LD_GRB2)+(F68&gt;=LD_GRB3)+(F68&gt;=LD_GRB4),NA())</f>
        <v>1</v>
      </c>
      <c r="P68" s="19">
        <f>IF(ISNUMBER(O68),IF(O68=0,N68,0),NA())</f>
        <v>0</v>
      </c>
      <c r="Q68" s="19">
        <f>IF(ISNUMBER(O68),IF(O68=1,N68,0),NA())</f>
        <v>0.4273333333333333</v>
      </c>
      <c r="R68" s="19">
        <f>IF(ISNUMBER(O68),IF(O68=2,N68,0),NA())</f>
        <v>0</v>
      </c>
      <c r="S68" s="19">
        <f>IF(ISNUMBER(O68),IF(O68=3,N68,0),NA())</f>
        <v>0</v>
      </c>
      <c r="T68" s="19">
        <f>IF(ISNUMBER(O68),IF(O68=4,N68,0),NA())</f>
        <v>0</v>
      </c>
      <c r="U68" s="19">
        <f>IF(ISNUMBER(G68),MAX(0,MIN(1,(LOG10(G68)-LD_RLog0)/LD_RSpan)),NA())</f>
        <v>0.29723212094021334</v>
      </c>
      <c r="V68" s="19">
        <f>IF(ISNUMBER(H68),MAX(0,MIN(1,(LOG10(H68)-LD_RLog0)/LD_RSpan)),NA())</f>
        <v>0.22911348713748125</v>
      </c>
      <c r="W68" s="19">
        <f>IF(ISNUMBER(I68),MAX(0,MIN(1,(LOG10(I68)-LD_RLog0)/LD_RSpan)),NA())</f>
        <v>0.1954388436631172</v>
      </c>
      <c r="Y68" s="19"/>
      <c r="Z68" s="19"/>
      <c r="AA68" s="19">
        <f>MAX(0,MIN(1,(LD_Dec0+3+LOG10(5)-LD_RLog0)/LD_RSpan))</f>
        <v>0.8494850021680094</v>
      </c>
      <c r="AB68" s="19">
        <v>120.5</v>
      </c>
    </row>
    <row r="69">
      <c r="A69" s="0">
        <v>55</v>
      </c>
      <c r="B69" s="18">
        <f>LD_Top+(A69+0.5)*LD_Step</f>
        <v>5055.5</v>
      </c>
      <c r="C69" s="0">
        <f>IF(OR(LD_N&lt;2,B69&lt;LD_First,B69&gt;LD_Last),0,MIN(MATCH(B69,LD_Depth,1),LD_N-1))</f>
        <v>112</v>
      </c>
      <c r="D69" s="19">
        <f>IF(C69=0,0,(B69-INDEX(LD_Depth,C69))/(INDEX(LD_Depth,C69+1)-INDEX(LD_Depth,C69)))</f>
        <v>0</v>
      </c>
      <c r="E69" s="0">
        <f>IF(C69=0,NA(),IF(AND(IF(ISNUMBER(INDEX(LD_SP,C69)),INDEX(LD_SP,C69)&lt;&gt;LD_Null,FALSE),OR(D69=0,IF(ISNUMBER(INDEX(LD_SP,C69+1)),INDEX(LD_SP,C69+1)&lt;&gt;LD_Null,FALSE))),IF(D69=0,INDEX(LD_SP,C69),INDEX(LD_SP,C69)+D69*(INDEX(LD_SP,C69+1)-INDEX(LD_SP,C69))),NA()))</f>
        <v>-47.9</v>
      </c>
      <c r="F69" s="0">
        <f>IF(C69=0,NA(),IF(AND(IF(ISNUMBER(INDEX(LD_GR,C69)),INDEX(LD_GR,C69)&lt;&gt;LD_Null,FALSE),OR(D69=0,IF(ISNUMBER(INDEX(LD_GR,C69+1)),INDEX(LD_GR,C69+1)&lt;&gt;LD_Null,FALSE))),IF(D69=0,INDEX(LD_GR,C69),INDEX(LD_GR,C69)+D69*(INDEX(LD_GR,C69+1)-INDEX(LD_GR,C69))),NA()))</f>
        <v>64.3</v>
      </c>
      <c r="G69" s="0">
        <f>IF(C69=0,NA(),IF(AND(IF(ISNUMBER(INDEX(LD_RS,C69)),AND(INDEX(LD_RS,C69)&lt;&gt;LD_Null,INDEX(LD_RS,C69)&gt;0),FALSE),OR(D69=0,IF(ISNUMBER(INDEX(LD_RS,C69+1)),AND(INDEX(LD_RS,C69+1)&lt;&gt;LD_Null,INDEX(LD_RS,C69+1)&gt;0),FALSE))),IF(D69=0,INDEX(LD_RS,C69),INDEX(LD_RS,C69)+D69*(INDEX(LD_RS,C69+1)-INDEX(LD_RS,C69))),NA()))</f>
        <v>3.21</v>
      </c>
      <c r="H69" s="0">
        <f>IF(C69=0,NA(),IF(AND(IF(ISNUMBER(INDEX(LD_RM,C69)),AND(INDEX(LD_RM,C69)&lt;&gt;LD_Null,INDEX(LD_RM,C69)&gt;0),FALSE),OR(D69=0,IF(ISNUMBER(INDEX(LD_RM,C69+1)),AND(INDEX(LD_RM,C69+1)&lt;&gt;LD_Null,INDEX(LD_RM,C69+1)&gt;0),FALSE))),IF(D69=0,INDEX(LD_RM,C69),INDEX(LD_RM,C69)+D69*(INDEX(LD_RM,C69+1)-INDEX(LD_RM,C69))),NA()))</f>
        <v>1.7</v>
      </c>
      <c r="I69" s="0">
        <f>IF(C69=0,NA(),IF(AND(IF(ISNUMBER(INDEX(LD_RD,C69)),AND(INDEX(LD_RD,C69)&lt;&gt;LD_Null,INDEX(LD_RD,C69)&gt;0),FALSE),OR(D69=0,IF(ISNUMBER(INDEX(LD_RD,C69+1)),AND(INDEX(LD_RD,C69+1)&lt;&gt;LD_Null,INDEX(LD_RD,C69+1)&gt;0),FALSE))),IF(D69=0,INDEX(LD_RD,C69),INDEX(LD_RD,C69)+D69*(INDEX(LD_RD,C69+1)-INDEX(LD_RD,C69))),NA()))</f>
        <v>1.18</v>
      </c>
      <c r="J69" s="19">
        <f>IF(ISNUMBER(F69),MAX(0,MIN(1,(F69-LD_GRClean)/(LD_GRShale-LD_GRClean))),NA())</f>
        <v>0.40352941176470586</v>
      </c>
      <c r="K69" s="19">
        <f>IF(ISNUMBER(E69),(MAX(LD_SPMin,MIN(E69,LD_SPBase))-LD_SPMin)/(LD_SPMax-LD_SPMin),NA())</f>
        <v>0.521</v>
      </c>
      <c r="L69" s="19">
        <f>IF(ISNUMBER(E69),(LD_SPBase-MAX(LD_SPMin,MIN(E69,LD_SPBase)))/(LD_SPMax-LD_SPMin),NA())</f>
        <v>0.32899999999999996</v>
      </c>
      <c r="M69" s="19">
        <f>IF(ISNUMBER(E69),(MIN(LD_SPMax,MAX(E69,LD_SPBase))-LD_SPBase)/(LD_SPMax-LD_SPMin),NA())</f>
        <v>0</v>
      </c>
      <c r="N69" s="19">
        <f>IF(ISNUMBER(F69),MAX(0,MIN(1,(F69-LD_GRMin)/(LD_GRMax-LD_GRMin))),NA())</f>
        <v>0.42866666666666664</v>
      </c>
      <c r="O69" s="0">
        <f>IF(ISNUMBER(F69),(F69&gt;=LD_GRB1)+(F69&gt;=LD_GRB2)+(F69&gt;=LD_GRB3)+(F69&gt;=LD_GRB4),NA())</f>
        <v>1</v>
      </c>
      <c r="P69" s="19">
        <f>IF(ISNUMBER(O69),IF(O69=0,N69,0),NA())</f>
        <v>0</v>
      </c>
      <c r="Q69" s="19">
        <f>IF(ISNUMBER(O69),IF(O69=1,N69,0),NA())</f>
        <v>0.42866666666666664</v>
      </c>
      <c r="R69" s="19">
        <f>IF(ISNUMBER(O69),IF(O69=2,N69,0),NA())</f>
        <v>0</v>
      </c>
      <c r="S69" s="19">
        <f>IF(ISNUMBER(O69),IF(O69=3,N69,0),NA())</f>
        <v>0</v>
      </c>
      <c r="T69" s="19">
        <f>IF(ISNUMBER(O69),IF(O69=4,N69,0),NA())</f>
        <v>0</v>
      </c>
      <c r="U69" s="19">
        <f>IF(ISNUMBER(G69),MAX(0,MIN(1,(LOG10(G69)-LD_RLog0)/LD_RSpan)),NA())</f>
        <v>0.3013687591852227</v>
      </c>
      <c r="V69" s="19">
        <f>IF(ISNUMBER(H69),MAX(0,MIN(1,(LOG10(H69)-LD_RLog0)/LD_RSpan)),NA())</f>
        <v>0.23235473142857316</v>
      </c>
      <c r="W69" s="19">
        <f>IF(ISNUMBER(I69),MAX(0,MIN(1,(LOG10(I69)-LD_RLog0)/LD_RSpan)),NA())</f>
        <v>0.19271300291053603</v>
      </c>
      <c r="Y69" s="19"/>
      <c r="Z69" s="19"/>
      <c r="AA69" s="19">
        <f>MAX(0,MIN(1,(LD_Dec0+3+LOG10(5)-LD_RLog0)/LD_RSpan))</f>
        <v>0.8494850021680094</v>
      </c>
      <c r="AB69" s="19">
        <v>-1.5</v>
      </c>
    </row>
    <row r="70">
      <c r="A70" s="0">
        <v>56</v>
      </c>
      <c r="B70" s="18">
        <f>LD_Top+(A70+0.5)*LD_Step</f>
        <v>5056.5</v>
      </c>
      <c r="C70" s="0">
        <f>IF(OR(LD_N&lt;2,B70&lt;LD_First,B70&gt;LD_Last),0,MIN(MATCH(B70,LD_Depth,1),LD_N-1))</f>
        <v>114</v>
      </c>
      <c r="D70" s="19">
        <f>IF(C70=0,0,(B70-INDEX(LD_Depth,C70))/(INDEX(LD_Depth,C70+1)-INDEX(LD_Depth,C70)))</f>
        <v>0</v>
      </c>
      <c r="E70" s="0">
        <f>IF(C70=0,NA(),IF(AND(IF(ISNUMBER(INDEX(LD_SP,C70)),INDEX(LD_SP,C70)&lt;&gt;LD_Null,FALSE),OR(D70=0,IF(ISNUMBER(INDEX(LD_SP,C70+1)),INDEX(LD_SP,C70+1)&lt;&gt;LD_Null,FALSE))),IF(D70=0,INDEX(LD_SP,C70),INDEX(LD_SP,C70)+D70*(INDEX(LD_SP,C70+1)-INDEX(LD_SP,C70))),NA()))</f>
        <v>-45</v>
      </c>
      <c r="F70" s="0">
        <f>IF(C70=0,NA(),IF(AND(IF(ISNUMBER(INDEX(LD_GR,C70)),INDEX(LD_GR,C70)&lt;&gt;LD_Null,FALSE),OR(D70=0,IF(ISNUMBER(INDEX(LD_GR,C70+1)),INDEX(LD_GR,C70+1)&lt;&gt;LD_Null,FALSE))),IF(D70=0,INDEX(LD_GR,C70),INDEX(LD_GR,C70)+D70*(INDEX(LD_GR,C70+1)-INDEX(LD_GR,C70))),NA()))</f>
        <v>71.9</v>
      </c>
      <c r="G70" s="0">
        <f>IF(C70=0,NA(),IF(AND(IF(ISNUMBER(INDEX(LD_RS,C70)),AND(INDEX(LD_RS,C70)&lt;&gt;LD_Null,INDEX(LD_RS,C70)&gt;0),FALSE),OR(D70=0,IF(ISNUMBER(INDEX(LD_RS,C70+1)),AND(INDEX(LD_RS,C70+1)&lt;&gt;LD_Null,INDEX(LD_RS,C70+1)&gt;0),FALSE))),IF(D70=0,INDEX(LD_RS,C70),INDEX(LD_RS,C70)+D70*(INDEX(LD_RS,C70+1)-INDEX(LD_RS,C70))),NA()))</f>
        <v>3.16</v>
      </c>
      <c r="H70" s="0">
        <f>IF(C70=0,NA(),IF(AND(IF(ISNUMBER(INDEX(LD_RM,C70)),AND(INDEX(LD_RM,C70)&lt;&gt;LD_Null,INDEX(LD_RM,C70)&gt;0),FALSE),OR(D70=0,IF(ISNUMBER(INDEX(LD_RM,C70+1)),AND(INDEX(LD_RM,C70+1)&lt;&gt;LD_Null,INDEX(LD_RM,C70+1)&gt;0),FALSE))),IF(D70=0,INDEX(LD_RM,C70),INDEX(LD_RM,C70)+D70*(INDEX(LD_RM,C70+1)-INDEX(LD_RM,C70))),NA()))</f>
        <v>1.61</v>
      </c>
      <c r="I70" s="0">
        <f>IF(C70=0,NA(),IF(AND(IF(ISNUMBER(INDEX(LD_RD,C70)),AND(INDEX(LD_RD,C70)&lt;&gt;LD_Null,INDEX(LD_RD,C70)&gt;0),FALSE),OR(D70=0,IF(ISNUMBER(INDEX(LD_RD,C70+1)),AND(INDEX(LD_RD,C70+1)&lt;&gt;LD_Null,INDEX(LD_RD,C70+1)&gt;0),FALSE))),IF(D70=0,INDEX(LD_RD,C70),INDEX(LD_RD,C70)+D70*(INDEX(LD_RD,C70+1)-INDEX(LD_RD,C70))),NA()))</f>
        <v>1.12</v>
      </c>
      <c r="J70" s="19">
        <f>IF(ISNUMBER(F70),MAX(0,MIN(1,(F70-LD_GRClean)/(LD_GRShale-LD_GRClean))),NA())</f>
        <v>0.4929411764705883</v>
      </c>
      <c r="K70" s="19">
        <f>IF(ISNUMBER(E70),(MAX(LD_SPMin,MIN(E70,LD_SPBase))-LD_SPMin)/(LD_SPMax-LD_SPMin),NA())</f>
        <v>0.55</v>
      </c>
      <c r="L70" s="19">
        <f>IF(ISNUMBER(E70),(LD_SPBase-MAX(LD_SPMin,MIN(E70,LD_SPBase)))/(LD_SPMax-LD_SPMin),NA())</f>
        <v>0.3</v>
      </c>
      <c r="M70" s="19">
        <f>IF(ISNUMBER(E70),(MIN(LD_SPMax,MAX(E70,LD_SPBase))-LD_SPBase)/(LD_SPMax-LD_SPMin),NA())</f>
        <v>0</v>
      </c>
      <c r="N70" s="19">
        <f>IF(ISNUMBER(F70),MAX(0,MIN(1,(F70-LD_GRMin)/(LD_GRMax-LD_GRMin))),NA())</f>
        <v>0.4793333333333334</v>
      </c>
      <c r="O70" s="0">
        <f>IF(ISNUMBER(F70),(F70&gt;=LD_GRB1)+(F70&gt;=LD_GRB2)+(F70&gt;=LD_GRB3)+(F70&gt;=LD_GRB4),NA())</f>
        <v>2</v>
      </c>
      <c r="P70" s="19">
        <f>IF(ISNUMBER(O70),IF(O70=0,N70,0),NA())</f>
        <v>0</v>
      </c>
      <c r="Q70" s="19">
        <f>IF(ISNUMBER(O70),IF(O70=1,N70,0),NA())</f>
        <v>0</v>
      </c>
      <c r="R70" s="19">
        <f>IF(ISNUMBER(O70),IF(O70=2,N70,0),NA())</f>
        <v>0.4793333333333334</v>
      </c>
      <c r="S70" s="19">
        <f>IF(ISNUMBER(O70),IF(O70=3,N70,0),NA())</f>
        <v>0</v>
      </c>
      <c r="T70" s="19">
        <f>IF(ISNUMBER(O70),IF(O70=4,N70,0),NA())</f>
        <v>0</v>
      </c>
      <c r="U70" s="19">
        <f>IF(ISNUMBER(G70),MAX(0,MIN(1,(LOG10(G70)-LD_RLog0)/LD_RSpan)),NA())</f>
        <v>0.29966427173860566</v>
      </c>
      <c r="V70" s="19">
        <f>IF(ISNUMBER(H70),MAX(0,MIN(1,(LOG10(H70)-LD_RLog0)/LD_RSpan)),NA())</f>
        <v>0.22644897009196713</v>
      </c>
      <c r="W70" s="19">
        <f>IF(ISNUMBER(I70),MAX(0,MIN(1,(LOG10(I70)-LD_RLog0)/LD_RSpan)),NA())</f>
        <v>0.1870470067515501</v>
      </c>
      <c r="Y70" s="19"/>
      <c r="Z70" s="19"/>
      <c r="AA70" s="19">
        <f>MAX(0,MIN(1,(LD_Dec0+3+LOG10(6)-LD_RLog0)/LD_RSpan))</f>
        <v>0.8692803136799157</v>
      </c>
      <c r="AB70" s="19">
        <v>-1.5</v>
      </c>
    </row>
    <row r="71">
      <c r="A71" s="0">
        <v>57</v>
      </c>
      <c r="B71" s="18">
        <f>LD_Top+(A71+0.5)*LD_Step</f>
        <v>5057.5</v>
      </c>
      <c r="C71" s="0">
        <f>IF(OR(LD_N&lt;2,B71&lt;LD_First,B71&gt;LD_Last),0,MIN(MATCH(B71,LD_Depth,1),LD_N-1))</f>
        <v>116</v>
      </c>
      <c r="D71" s="19">
        <f>IF(C71=0,0,(B71-INDEX(LD_Depth,C71))/(INDEX(LD_Depth,C71+1)-INDEX(LD_Depth,C71)))</f>
        <v>0</v>
      </c>
      <c r="E71" s="0">
        <f>IF(C71=0,NA(),IF(AND(IF(ISNUMBER(INDEX(LD_SP,C71)),INDEX(LD_SP,C71)&lt;&gt;LD_Null,FALSE),OR(D71=0,IF(ISNUMBER(INDEX(LD_SP,C71+1)),INDEX(LD_SP,C71+1)&lt;&gt;LD_Null,FALSE))),IF(D71=0,INDEX(LD_SP,C71),INDEX(LD_SP,C71)+D71*(INDEX(LD_SP,C71+1)-INDEX(LD_SP,C71))),NA()))</f>
        <v>-38</v>
      </c>
      <c r="F71" s="0">
        <f>IF(C71=0,NA(),IF(AND(IF(ISNUMBER(INDEX(LD_GR,C71)),INDEX(LD_GR,C71)&lt;&gt;LD_Null,FALSE),OR(D71=0,IF(ISNUMBER(INDEX(LD_GR,C71+1)),INDEX(LD_GR,C71+1)&lt;&gt;LD_Null,FALSE))),IF(D71=0,INDEX(LD_GR,C71),INDEX(LD_GR,C71)+D71*(INDEX(LD_GR,C71+1)-INDEX(LD_GR,C71))),NA()))</f>
        <v>84.1</v>
      </c>
      <c r="G71" s="0">
        <f>IF(C71=0,NA(),IF(AND(IF(ISNUMBER(INDEX(LD_RS,C71)),AND(INDEX(LD_RS,C71)&lt;&gt;LD_Null,INDEX(LD_RS,C71)&gt;0),FALSE),OR(D71=0,IF(ISNUMBER(INDEX(LD_RS,C71+1)),AND(INDEX(LD_RS,C71+1)&lt;&gt;LD_Null,INDEX(LD_RS,C71+1)&gt;0),FALSE))),IF(D71=0,INDEX(LD_RS,C71),INDEX(LD_RS,C71)+D71*(INDEX(LD_RS,C71+1)-INDEX(LD_RS,C71))),NA()))</f>
        <v>2.51</v>
      </c>
      <c r="H71" s="0">
        <f>IF(C71=0,NA(),IF(AND(IF(ISNUMBER(INDEX(LD_RM,C71)),AND(INDEX(LD_RM,C71)&lt;&gt;LD_Null,INDEX(LD_RM,C71)&gt;0),FALSE),OR(D71=0,IF(ISNUMBER(INDEX(LD_RM,C71+1)),AND(INDEX(LD_RM,C71+1)&lt;&gt;LD_Null,INDEX(LD_RM,C71+1)&gt;0),FALSE))),IF(D71=0,INDEX(LD_RM,C71),INDEX(LD_RM,C71)+D71*(INDEX(LD_RM,C71+1)-INDEX(LD_RM,C71))),NA()))</f>
        <v>1.76</v>
      </c>
      <c r="I71" s="0">
        <f>IF(C71=0,NA(),IF(AND(IF(ISNUMBER(INDEX(LD_RD,C71)),AND(INDEX(LD_RD,C71)&lt;&gt;LD_Null,INDEX(LD_RD,C71)&gt;0),FALSE),OR(D71=0,IF(ISNUMBER(INDEX(LD_RD,C71+1)),AND(INDEX(LD_RD,C71+1)&lt;&gt;LD_Null,INDEX(LD_RD,C71+1)&gt;0),FALSE))),IF(D71=0,INDEX(LD_RD,C71),INDEX(LD_RD,C71)+D71*(INDEX(LD_RD,C71+1)-INDEX(LD_RD,C71))),NA()))</f>
        <v>1.45</v>
      </c>
      <c r="J71" s="19">
        <f>IF(ISNUMBER(F71),MAX(0,MIN(1,(F71-LD_GRClean)/(LD_GRShale-LD_GRClean))),NA())</f>
        <v>0.636470588235294</v>
      </c>
      <c r="K71" s="19">
        <f>IF(ISNUMBER(E71),(MAX(LD_SPMin,MIN(E71,LD_SPBase))-LD_SPMin)/(LD_SPMax-LD_SPMin),NA())</f>
        <v>0.62</v>
      </c>
      <c r="L71" s="19">
        <f>IF(ISNUMBER(E71),(LD_SPBase-MAX(LD_SPMin,MIN(E71,LD_SPBase)))/(LD_SPMax-LD_SPMin),NA())</f>
        <v>0.23</v>
      </c>
      <c r="M71" s="19">
        <f>IF(ISNUMBER(E71),(MIN(LD_SPMax,MAX(E71,LD_SPBase))-LD_SPBase)/(LD_SPMax-LD_SPMin),NA())</f>
        <v>0</v>
      </c>
      <c r="N71" s="19">
        <f>IF(ISNUMBER(F71),MAX(0,MIN(1,(F71-LD_GRMin)/(LD_GRMax-LD_GRMin))),NA())</f>
        <v>0.5606666666666666</v>
      </c>
      <c r="O71" s="0">
        <f>IF(ISNUMBER(F71),(F71&gt;=LD_GRB1)+(F71&gt;=LD_GRB2)+(F71&gt;=LD_GRB3)+(F71&gt;=LD_GRB4),NA())</f>
        <v>2</v>
      </c>
      <c r="P71" s="19">
        <f>IF(ISNUMBER(O71),IF(O71=0,N71,0),NA())</f>
        <v>0</v>
      </c>
      <c r="Q71" s="19">
        <f>IF(ISNUMBER(O71),IF(O71=1,N71,0),NA())</f>
        <v>0</v>
      </c>
      <c r="R71" s="19">
        <f>IF(ISNUMBER(O71),IF(O71=2,N71,0),NA())</f>
        <v>0.5606666666666666</v>
      </c>
      <c r="S71" s="19">
        <f>IF(ISNUMBER(O71),IF(O71=3,N71,0),NA())</f>
        <v>0</v>
      </c>
      <c r="T71" s="19">
        <f>IF(ISNUMBER(O71),IF(O71=4,N71,0),NA())</f>
        <v>0</v>
      </c>
      <c r="U71" s="19">
        <f>IF(ISNUMBER(G71),MAX(0,MIN(1,(LOG10(G71)-LD_RLog0)/LD_RSpan)),NA())</f>
        <v>0.2746609314542642</v>
      </c>
      <c r="V71" s="19">
        <f>IF(ISNUMBER(H71),MAX(0,MIN(1,(LOG10(H71)-LD_RLog0)/LD_RSpan)),NA())</f>
        <v>0.23612066803754214</v>
      </c>
      <c r="W71" s="19">
        <f>IF(ISNUMBER(I71),MAX(0,MIN(1,(LOG10(I71)-LD_RLog0)/LD_RSpan)),NA())</f>
        <v>0.2150845016427484</v>
      </c>
      <c r="Y71" s="19"/>
      <c r="Z71" s="19"/>
      <c r="AA71" s="19">
        <f>MAX(0,MIN(1,(LD_Dec0+3+LOG10(6)-LD_RLog0)/LD_RSpan))</f>
        <v>0.8692803136799157</v>
      </c>
      <c r="AB71" s="19">
        <v>120.5</v>
      </c>
    </row>
    <row r="72">
      <c r="A72" s="0">
        <v>58</v>
      </c>
      <c r="B72" s="18">
        <f>LD_Top+(A72+0.5)*LD_Step</f>
        <v>5058.5</v>
      </c>
      <c r="C72" s="0">
        <f>IF(OR(LD_N&lt;2,B72&lt;LD_First,B72&gt;LD_Last),0,MIN(MATCH(B72,LD_Depth,1),LD_N-1))</f>
        <v>118</v>
      </c>
      <c r="D72" s="19">
        <f>IF(C72=0,0,(B72-INDEX(LD_Depth,C72))/(INDEX(LD_Depth,C72+1)-INDEX(LD_Depth,C72)))</f>
        <v>0</v>
      </c>
      <c r="E72" s="0">
        <f>IF(C72=0,NA(),IF(AND(IF(ISNUMBER(INDEX(LD_SP,C72)),INDEX(LD_SP,C72)&lt;&gt;LD_Null,FALSE),OR(D72=0,IF(ISNUMBER(INDEX(LD_SP,C72+1)),INDEX(LD_SP,C72+1)&lt;&gt;LD_Null,FALSE))),IF(D72=0,INDEX(LD_SP,C72),INDEX(LD_SP,C72)+D72*(INDEX(LD_SP,C72+1)-INDEX(LD_SP,C72))),NA()))</f>
        <v>-27.7</v>
      </c>
      <c r="F72" s="0">
        <f>IF(C72=0,NA(),IF(AND(IF(ISNUMBER(INDEX(LD_GR,C72)),INDEX(LD_GR,C72)&lt;&gt;LD_Null,FALSE),OR(D72=0,IF(ISNUMBER(INDEX(LD_GR,C72+1)),INDEX(LD_GR,C72+1)&lt;&gt;LD_Null,FALSE))),IF(D72=0,INDEX(LD_GR,C72),INDEX(LD_GR,C72)+D72*(INDEX(LD_GR,C72+1)-INDEX(LD_GR,C72))),NA()))</f>
        <v>94.7</v>
      </c>
      <c r="G72" s="0">
        <f>IF(C72=0,NA(),IF(AND(IF(ISNUMBER(INDEX(LD_RS,C72)),AND(INDEX(LD_RS,C72)&lt;&gt;LD_Null,INDEX(LD_RS,C72)&gt;0),FALSE),OR(D72=0,IF(ISNUMBER(INDEX(LD_RS,C72+1)),AND(INDEX(LD_RS,C72+1)&lt;&gt;LD_Null,INDEX(LD_RS,C72+1)&gt;0),FALSE))),IF(D72=0,INDEX(LD_RS,C72),INDEX(LD_RS,C72)+D72*(INDEX(LD_RS,C72+1)-INDEX(LD_RS,C72))),NA()))</f>
        <v>2.36</v>
      </c>
      <c r="H72" s="0">
        <f>IF(C72=0,NA(),IF(AND(IF(ISNUMBER(INDEX(LD_RM,C72)),AND(INDEX(LD_RM,C72)&lt;&gt;LD_Null,INDEX(LD_RM,C72)&gt;0),FALSE),OR(D72=0,IF(ISNUMBER(INDEX(LD_RM,C72+1)),AND(INDEX(LD_RM,C72+1)&lt;&gt;LD_Null,INDEX(LD_RM,C72+1)&gt;0),FALSE))),IF(D72=0,INDEX(LD_RM,C72),INDEX(LD_RM,C72)+D72*(INDEX(LD_RM,C72+1)-INDEX(LD_RM,C72))),NA()))</f>
        <v>1.95</v>
      </c>
      <c r="I72" s="0">
        <f>IF(C72=0,NA(),IF(AND(IF(ISNUMBER(INDEX(LD_RD,C72)),AND(INDEX(LD_RD,C72)&lt;&gt;LD_Null,INDEX(LD_RD,C72)&gt;0),FALSE),OR(D72=0,IF(ISNUMBER(INDEX(LD_RD,C72+1)),AND(INDEX(LD_RD,C72+1)&lt;&gt;LD_Null,INDEX(LD_RD,C72+1)&gt;0),FALSE))),IF(D72=0,INDEX(LD_RD,C72),INDEX(LD_RD,C72)+D72*(INDEX(LD_RD,C72+1)-INDEX(LD_RD,C72))),NA()))</f>
        <v>1.97</v>
      </c>
      <c r="J72" s="19">
        <f>IF(ISNUMBER(F72),MAX(0,MIN(1,(F72-LD_GRClean)/(LD_GRShale-LD_GRClean))),NA())</f>
        <v>0.7611764705882353</v>
      </c>
      <c r="K72" s="19">
        <f>IF(ISNUMBER(E72),(MAX(LD_SPMin,MIN(E72,LD_SPBase))-LD_SPMin)/(LD_SPMax-LD_SPMin),NA())</f>
        <v>0.723</v>
      </c>
      <c r="L72" s="19">
        <f>IF(ISNUMBER(E72),(LD_SPBase-MAX(LD_SPMin,MIN(E72,LD_SPBase)))/(LD_SPMax-LD_SPMin),NA())</f>
        <v>0.127</v>
      </c>
      <c r="M72" s="19">
        <f>IF(ISNUMBER(E72),(MIN(LD_SPMax,MAX(E72,LD_SPBase))-LD_SPBase)/(LD_SPMax-LD_SPMin),NA())</f>
        <v>0</v>
      </c>
      <c r="N72" s="19">
        <f>IF(ISNUMBER(F72),MAX(0,MIN(1,(F72-LD_GRMin)/(LD_GRMax-LD_GRMin))),NA())</f>
        <v>0.6313333333333333</v>
      </c>
      <c r="O72" s="0">
        <f>IF(ISNUMBER(F72),(F72&gt;=LD_GRB1)+(F72&gt;=LD_GRB2)+(F72&gt;=LD_GRB3)+(F72&gt;=LD_GRB4),NA())</f>
        <v>3</v>
      </c>
      <c r="P72" s="19">
        <f>IF(ISNUMBER(O72),IF(O72=0,N72,0),NA())</f>
        <v>0</v>
      </c>
      <c r="Q72" s="19">
        <f>IF(ISNUMBER(O72),IF(O72=1,N72,0),NA())</f>
        <v>0</v>
      </c>
      <c r="R72" s="19">
        <f>IF(ISNUMBER(O72),IF(O72=2,N72,0),NA())</f>
        <v>0</v>
      </c>
      <c r="S72" s="19">
        <f>IF(ISNUMBER(O72),IF(O72=3,N72,0),NA())</f>
        <v>0.6313333333333333</v>
      </c>
      <c r="T72" s="19">
        <f>IF(ISNUMBER(O72),IF(O72=4,N72,0),NA())</f>
        <v>0</v>
      </c>
      <c r="U72" s="19">
        <f>IF(ISNUMBER(G72),MAX(0,MIN(1,(LOG10(G72)-LD_RLog0)/LD_RSpan)),NA())</f>
        <v>0.2679705018265313</v>
      </c>
      <c r="V72" s="19">
        <f>IF(ISNUMBER(H72),MAX(0,MIN(1,(LOG10(H72)-LD_RLog0)/LD_RSpan)),NA())</f>
        <v>0.2472511539246342</v>
      </c>
      <c r="W72" s="19">
        <f>IF(ISNUMBER(I72),MAX(0,MIN(1,(LOG10(I72)-LD_RLog0)/LD_RSpan)),NA())</f>
        <v>0.2483590576244029</v>
      </c>
      <c r="Y72" s="19"/>
      <c r="Z72" s="19"/>
      <c r="AA72" s="19">
        <f>MAX(0,MIN(1,(LD_Dec0+3+LOG10(7)-LD_RLog0)/LD_RSpan))</f>
        <v>0.8860170110875689</v>
      </c>
      <c r="AB72" s="19">
        <v>120.5</v>
      </c>
    </row>
    <row r="73">
      <c r="A73" s="0">
        <v>59</v>
      </c>
      <c r="B73" s="18">
        <f>LD_Top+(A73+0.5)*LD_Step</f>
        <v>5059.5</v>
      </c>
      <c r="C73" s="0">
        <f>IF(OR(LD_N&lt;2,B73&lt;LD_First,B73&gt;LD_Last),0,MIN(MATCH(B73,LD_Depth,1),LD_N-1))</f>
        <v>120</v>
      </c>
      <c r="D73" s="19">
        <f>IF(C73=0,0,(B73-INDEX(LD_Depth,C73))/(INDEX(LD_Depth,C73+1)-INDEX(LD_Depth,C73)))</f>
        <v>0</v>
      </c>
      <c r="E73" s="0">
        <f>IF(C73=0,NA(),IF(AND(IF(ISNUMBER(INDEX(LD_SP,C73)),INDEX(LD_SP,C73)&lt;&gt;LD_Null,FALSE),OR(D73=0,IF(ISNUMBER(INDEX(LD_SP,C73+1)),INDEX(LD_SP,C73+1)&lt;&gt;LD_Null,FALSE))),IF(D73=0,INDEX(LD_SP,C73),INDEX(LD_SP,C73)+D73*(INDEX(LD_SP,C73+1)-INDEX(LD_SP,C73))),NA()))</f>
        <v>-19.4</v>
      </c>
      <c r="F73" s="0">
        <f>IF(C73=0,NA(),IF(AND(IF(ISNUMBER(INDEX(LD_GR,C73)),INDEX(LD_GR,C73)&lt;&gt;LD_Null,FALSE),OR(D73=0,IF(ISNUMBER(INDEX(LD_GR,C73+1)),INDEX(LD_GR,C73+1)&lt;&gt;LD_Null,FALSE))),IF(D73=0,INDEX(LD_GR,C73),INDEX(LD_GR,C73)+D73*(INDEX(LD_GR,C73+1)-INDEX(LD_GR,C73))),NA()))</f>
        <v>106.5</v>
      </c>
      <c r="G73" s="0">
        <f>IF(C73=0,NA(),IF(AND(IF(ISNUMBER(INDEX(LD_RS,C73)),AND(INDEX(LD_RS,C73)&lt;&gt;LD_Null,INDEX(LD_RS,C73)&gt;0),FALSE),OR(D73=0,IF(ISNUMBER(INDEX(LD_RS,C73+1)),AND(INDEX(LD_RS,C73+1)&lt;&gt;LD_Null,INDEX(LD_RS,C73+1)&gt;0),FALSE))),IF(D73=0,INDEX(LD_RS,C73),INDEX(LD_RS,C73)+D73*(INDEX(LD_RS,C73+1)-INDEX(LD_RS,C73))),NA()))</f>
        <v>2.27</v>
      </c>
      <c r="H73" s="0">
        <f>IF(C73=0,NA(),IF(AND(IF(ISNUMBER(INDEX(LD_RM,C73)),AND(INDEX(LD_RM,C73)&lt;&gt;LD_Null,INDEX(LD_RM,C73)&gt;0),FALSE),OR(D73=0,IF(ISNUMBER(INDEX(LD_RM,C73+1)),AND(INDEX(LD_RM,C73+1)&lt;&gt;LD_Null,INDEX(LD_RM,C73+1)&gt;0),FALSE))),IF(D73=0,INDEX(LD_RM,C73),INDEX(LD_RM,C73)+D73*(INDEX(LD_RM,C73+1)-INDEX(LD_RM,C73))),NA()))</f>
        <v>2.27</v>
      </c>
      <c r="I73" s="0">
        <f>IF(C73=0,NA(),IF(AND(IF(ISNUMBER(INDEX(LD_RD,C73)),AND(INDEX(LD_RD,C73)&lt;&gt;LD_Null,INDEX(LD_RD,C73)&gt;0),FALSE),OR(D73=0,IF(ISNUMBER(INDEX(LD_RD,C73+1)),AND(INDEX(LD_RD,C73+1)&lt;&gt;LD_Null,INDEX(LD_RD,C73+1)&gt;0),FALSE))),IF(D73=0,INDEX(LD_RD,C73),INDEX(LD_RD,C73)+D73*(INDEX(LD_RD,C73+1)-INDEX(LD_RD,C73))),NA()))</f>
        <v>2.08</v>
      </c>
      <c r="J73" s="19">
        <f>IF(ISNUMBER(F73),MAX(0,MIN(1,(F73-LD_GRClean)/(LD_GRShale-LD_GRClean))),NA())</f>
        <v>0.9</v>
      </c>
      <c r="K73" s="19">
        <f>IF(ISNUMBER(E73),(MAX(LD_SPMin,MIN(E73,LD_SPBase))-LD_SPMin)/(LD_SPMax-LD_SPMin),NA())</f>
        <v>0.8059999999999999</v>
      </c>
      <c r="L73" s="19">
        <f>IF(ISNUMBER(E73),(LD_SPBase-MAX(LD_SPMin,MIN(E73,LD_SPBase)))/(LD_SPMax-LD_SPMin),NA())</f>
        <v>0.043999999999999984</v>
      </c>
      <c r="M73" s="19">
        <f>IF(ISNUMBER(E73),(MIN(LD_SPMax,MAX(E73,LD_SPBase))-LD_SPBase)/(LD_SPMax-LD_SPMin),NA())</f>
        <v>0</v>
      </c>
      <c r="N73" s="19">
        <f>IF(ISNUMBER(F73),MAX(0,MIN(1,(F73-LD_GRMin)/(LD_GRMax-LD_GRMin))),NA())</f>
        <v>0.71</v>
      </c>
      <c r="O73" s="0">
        <f>IF(ISNUMBER(F73),(F73&gt;=LD_GRB1)+(F73&gt;=LD_GRB2)+(F73&gt;=LD_GRB3)+(F73&gt;=LD_GRB4),NA())</f>
        <v>4</v>
      </c>
      <c r="P73" s="19">
        <f>IF(ISNUMBER(O73),IF(O73=0,N73,0),NA())</f>
        <v>0</v>
      </c>
      <c r="Q73" s="19">
        <f>IF(ISNUMBER(O73),IF(O73=1,N73,0),NA())</f>
        <v>0</v>
      </c>
      <c r="R73" s="19">
        <f>IF(ISNUMBER(O73),IF(O73=2,N73,0),NA())</f>
        <v>0</v>
      </c>
      <c r="S73" s="19">
        <f>IF(ISNUMBER(O73),IF(O73=3,N73,0),NA())</f>
        <v>0</v>
      </c>
      <c r="T73" s="19">
        <f>IF(ISNUMBER(O73),IF(O73=4,N73,0),NA())</f>
        <v>0.71</v>
      </c>
      <c r="U73" s="19">
        <f>IF(ISNUMBER(G73),MAX(0,MIN(1,(LOG10(G73)-LD_RLog0)/LD_RSpan)),NA())</f>
        <v>0.26374896538228537</v>
      </c>
      <c r="V73" s="19">
        <f>IF(ISNUMBER(H73),MAX(0,MIN(1,(LOG10(H73)-LD_RLog0)/LD_RSpan)),NA())</f>
        <v>0.26374896538228537</v>
      </c>
      <c r="W73" s="19">
        <f>IF(ISNUMBER(I73),MAX(0,MIN(1,(LOG10(I73)-LD_RLog0)/LD_RSpan)),NA())</f>
        <v>0.25425833482469506</v>
      </c>
      <c r="Y73" s="19"/>
      <c r="Z73" s="19"/>
      <c r="AA73" s="19">
        <f>MAX(0,MIN(1,(LD_Dec0+3+LOG10(7)-LD_RLog0)/LD_RSpan))</f>
        <v>0.8860170110875689</v>
      </c>
      <c r="AB73" s="19">
        <v>-1.5</v>
      </c>
    </row>
    <row r="74">
      <c r="A74" s="0">
        <v>60</v>
      </c>
      <c r="B74" s="18">
        <f>LD_Top+(A74+0.5)*LD_Step</f>
        <v>5060.5</v>
      </c>
      <c r="C74" s="0">
        <f>IF(OR(LD_N&lt;2,B74&lt;LD_First,B74&gt;LD_Last),0,MIN(MATCH(B74,LD_Depth,1),LD_N-1))</f>
        <v>122</v>
      </c>
      <c r="D74" s="19">
        <f>IF(C74=0,0,(B74-INDEX(LD_Depth,C74))/(INDEX(LD_Depth,C74+1)-INDEX(LD_Depth,C74)))</f>
        <v>0</v>
      </c>
      <c r="E74" s="0">
        <f>IF(C74=0,NA(),IF(AND(IF(ISNUMBER(INDEX(LD_SP,C74)),INDEX(LD_SP,C74)&lt;&gt;LD_Null,FALSE),OR(D74=0,IF(ISNUMBER(INDEX(LD_SP,C74+1)),INDEX(LD_SP,C74+1)&lt;&gt;LD_Null,FALSE))),IF(D74=0,INDEX(LD_SP,C74),INDEX(LD_SP,C74)+D74*(INDEX(LD_SP,C74+1)-INDEX(LD_SP,C74))),NA()))</f>
        <v>-16.1</v>
      </c>
      <c r="F74" s="0">
        <f>IF(C74=0,NA(),IF(AND(IF(ISNUMBER(INDEX(LD_GR,C74)),INDEX(LD_GR,C74)&lt;&gt;LD_Null,FALSE),OR(D74=0,IF(ISNUMBER(INDEX(LD_GR,C74+1)),INDEX(LD_GR,C74+1)&lt;&gt;LD_Null,FALSE))),IF(D74=0,INDEX(LD_GR,C74),INDEX(LD_GR,C74)+D74*(INDEX(LD_GR,C74+1)-INDEX(LD_GR,C74))),NA()))</f>
        <v>117.1</v>
      </c>
      <c r="G74" s="0">
        <f>IF(C74=0,NA(),IF(AND(IF(ISNUMBER(INDEX(LD_RS,C74)),AND(INDEX(LD_RS,C74)&lt;&gt;LD_Null,INDEX(LD_RS,C74)&gt;0),FALSE),OR(D74=0,IF(ISNUMBER(INDEX(LD_RS,C74+1)),AND(INDEX(LD_RS,C74+1)&lt;&gt;LD_Null,INDEX(LD_RS,C74+1)&gt;0),FALSE))),IF(D74=0,INDEX(LD_RS,C74),INDEX(LD_RS,C74)+D74*(INDEX(LD_RS,C74+1)-INDEX(LD_RS,C74))),NA()))</f>
        <v>2</v>
      </c>
      <c r="H74" s="0">
        <f>IF(C74=0,NA(),IF(AND(IF(ISNUMBER(INDEX(LD_RM,C74)),AND(INDEX(LD_RM,C74)&lt;&gt;LD_Null,INDEX(LD_RM,C74)&gt;0),FALSE),OR(D74=0,IF(ISNUMBER(INDEX(LD_RM,C74+1)),AND(INDEX(LD_RM,C74+1)&lt;&gt;LD_Null,INDEX(LD_RM,C74+1)&gt;0),FALSE))),IF(D74=0,INDEX(LD_RM,C74),INDEX(LD_RM,C74)+D74*(INDEX(LD_RM,C74+1)-INDEX(LD_RM,C74))),NA()))</f>
        <v>2.07</v>
      </c>
      <c r="I74" s="0">
        <f>IF(C74=0,NA(),IF(AND(IF(ISNUMBER(INDEX(LD_RD,C74)),AND(INDEX(LD_RD,C74)&lt;&gt;LD_Null,INDEX(LD_RD,C74)&gt;0),FALSE),OR(D74=0,IF(ISNUMBER(INDEX(LD_RD,C74+1)),AND(INDEX(LD_RD,C74+1)&lt;&gt;LD_Null,INDEX(LD_RD,C74+1)&gt;0),FALSE))),IF(D74=0,INDEX(LD_RD,C74),INDEX(LD_RD,C74)+D74*(INDEX(LD_RD,C74+1)-INDEX(LD_RD,C74))),NA()))</f>
        <v>2.25</v>
      </c>
      <c r="J74" s="19">
        <f>IF(ISNUMBER(F74),MAX(0,MIN(1,(F74-LD_GRClean)/(LD_GRShale-LD_GRClean))),NA())</f>
        <v>1</v>
      </c>
      <c r="K74" s="19">
        <f>IF(ISNUMBER(E74),(MAX(LD_SPMin,MIN(E74,LD_SPBase))-LD_SPMin)/(LD_SPMax-LD_SPMin),NA())</f>
        <v>0.8390000000000001</v>
      </c>
      <c r="L74" s="19">
        <f>IF(ISNUMBER(E74),(LD_SPBase-MAX(LD_SPMin,MIN(E74,LD_SPBase)))/(LD_SPMax-LD_SPMin),NA())</f>
        <v>0.011000000000000015</v>
      </c>
      <c r="M74" s="19">
        <f>IF(ISNUMBER(E74),(MIN(LD_SPMax,MAX(E74,LD_SPBase))-LD_SPBase)/(LD_SPMax-LD_SPMin),NA())</f>
        <v>0</v>
      </c>
      <c r="N74" s="19">
        <f>IF(ISNUMBER(F74),MAX(0,MIN(1,(F74-LD_GRMin)/(LD_GRMax-LD_GRMin))),NA())</f>
        <v>0.7806666666666666</v>
      </c>
      <c r="O74" s="0">
        <f>IF(ISNUMBER(F74),(F74&gt;=LD_GRB1)+(F74&gt;=LD_GRB2)+(F74&gt;=LD_GRB3)+(F74&gt;=LD_GRB4),NA())</f>
        <v>4</v>
      </c>
      <c r="P74" s="19">
        <f>IF(ISNUMBER(O74),IF(O74=0,N74,0),NA())</f>
        <v>0</v>
      </c>
      <c r="Q74" s="19">
        <f>IF(ISNUMBER(O74),IF(O74=1,N74,0),NA())</f>
        <v>0</v>
      </c>
      <c r="R74" s="19">
        <f>IF(ISNUMBER(O74),IF(O74=2,N74,0),NA())</f>
        <v>0</v>
      </c>
      <c r="S74" s="19">
        <f>IF(ISNUMBER(O74),IF(O74=3,N74,0),NA())</f>
        <v>0</v>
      </c>
      <c r="T74" s="19">
        <f>IF(ISNUMBER(O74),IF(O74=4,N74,0),NA())</f>
        <v>0.7806666666666666</v>
      </c>
      <c r="U74" s="19">
        <f>IF(ISNUMBER(G74),MAX(0,MIN(1,(LOG10(G74)-LD_RLog0)/LD_RSpan)),NA())</f>
        <v>0.25</v>
      </c>
      <c r="V74" s="19">
        <f>IF(ISNUMBER(H74),MAX(0,MIN(1,(LOG10(H74)-LD_RLog0)/LD_RSpan)),NA())</f>
        <v>0.25373508744823414</v>
      </c>
      <c r="W74" s="19">
        <f>IF(ISNUMBER(I74),MAX(0,MIN(1,(LOG10(I74)-LD_RLog0)/LD_RSpan)),NA())</f>
        <v>0.2627881306118453</v>
      </c>
      <c r="Y74" s="19"/>
      <c r="Z74" s="19"/>
      <c r="AA74" s="19">
        <f>MAX(0,MIN(1,(LD_Dec0+3+LOG10(8)-LD_RLog0)/LD_RSpan))</f>
        <v>0.9005149978319906</v>
      </c>
      <c r="AB74" s="19">
        <v>-1.5</v>
      </c>
    </row>
    <row r="75">
      <c r="A75" s="0">
        <v>61</v>
      </c>
      <c r="B75" s="18">
        <f>LD_Top+(A75+0.5)*LD_Step</f>
        <v>5061.5</v>
      </c>
      <c r="C75" s="0">
        <f>IF(OR(LD_N&lt;2,B75&lt;LD_First,B75&gt;LD_Last),0,MIN(MATCH(B75,LD_Depth,1),LD_N-1))</f>
        <v>124</v>
      </c>
      <c r="D75" s="19">
        <f>IF(C75=0,0,(B75-INDEX(LD_Depth,C75))/(INDEX(LD_Depth,C75+1)-INDEX(LD_Depth,C75)))</f>
        <v>0</v>
      </c>
      <c r="E75" s="0">
        <f>IF(C75=0,NA(),IF(AND(IF(ISNUMBER(INDEX(LD_SP,C75)),INDEX(LD_SP,C75)&lt;&gt;LD_Null,FALSE),OR(D75=0,IF(ISNUMBER(INDEX(LD_SP,C75+1)),INDEX(LD_SP,C75+1)&lt;&gt;LD_Null,FALSE))),IF(D75=0,INDEX(LD_SP,C75),INDEX(LD_SP,C75)+D75*(INDEX(LD_SP,C75+1)-INDEX(LD_SP,C75))),NA()))</f>
        <v>-15.4</v>
      </c>
      <c r="F75" s="0">
        <f>IF(C75=0,NA(),IF(AND(IF(ISNUMBER(INDEX(LD_GR,C75)),INDEX(LD_GR,C75)&lt;&gt;LD_Null,FALSE),OR(D75=0,IF(ISNUMBER(INDEX(LD_GR,C75+1)),INDEX(LD_GR,C75+1)&lt;&gt;LD_Null,FALSE))),IF(D75=0,INDEX(LD_GR,C75),INDEX(LD_GR,C75)+D75*(INDEX(LD_GR,C75+1)-INDEX(LD_GR,C75))),NA()))</f>
        <v>113.1</v>
      </c>
      <c r="G75" s="0">
        <f>IF(C75=0,NA(),IF(AND(IF(ISNUMBER(INDEX(LD_RS,C75)),AND(INDEX(LD_RS,C75)&lt;&gt;LD_Null,INDEX(LD_RS,C75)&gt;0),FALSE),OR(D75=0,IF(ISNUMBER(INDEX(LD_RS,C75+1)),AND(INDEX(LD_RS,C75+1)&lt;&gt;LD_Null,INDEX(LD_RS,C75+1)&gt;0),FALSE))),IF(D75=0,INDEX(LD_RS,C75),INDEX(LD_RS,C75)+D75*(INDEX(LD_RS,C75+1)-INDEX(LD_RS,C75))),NA()))</f>
        <v>1.89</v>
      </c>
      <c r="H75" s="0">
        <f>IF(C75=0,NA(),IF(AND(IF(ISNUMBER(INDEX(LD_RM,C75)),AND(INDEX(LD_RM,C75)&lt;&gt;LD_Null,INDEX(LD_RM,C75)&gt;0),FALSE),OR(D75=0,IF(ISNUMBER(INDEX(LD_RM,C75+1)),AND(INDEX(LD_RM,C75+1)&lt;&gt;LD_Null,INDEX(LD_RM,C75+1)&gt;0),FALSE))),IF(D75=0,INDEX(LD_RM,C75),INDEX(LD_RM,C75)+D75*(INDEX(LD_RM,C75+1)-INDEX(LD_RM,C75))),NA()))</f>
        <v>2.08</v>
      </c>
      <c r="I75" s="0">
        <f>IF(C75=0,NA(),IF(AND(IF(ISNUMBER(INDEX(LD_RD,C75)),AND(INDEX(LD_RD,C75)&lt;&gt;LD_Null,INDEX(LD_RD,C75)&gt;0),FALSE),OR(D75=0,IF(ISNUMBER(INDEX(LD_RD,C75+1)),AND(INDEX(LD_RD,C75+1)&lt;&gt;LD_Null,INDEX(LD_RD,C75+1)&gt;0),FALSE))),IF(D75=0,INDEX(LD_RD,C75),INDEX(LD_RD,C75)+D75*(INDEX(LD_RD,C75+1)-INDEX(LD_RD,C75))),NA()))</f>
        <v>2.41</v>
      </c>
      <c r="J75" s="19">
        <f>IF(ISNUMBER(F75),MAX(0,MIN(1,(F75-LD_GRClean)/(LD_GRShale-LD_GRClean))),NA())</f>
        <v>0.9776470588235293</v>
      </c>
      <c r="K75" s="19">
        <f>IF(ISNUMBER(E75),(MAX(LD_SPMin,MIN(E75,LD_SPBase))-LD_SPMin)/(LD_SPMax-LD_SPMin),NA())</f>
        <v>0.846</v>
      </c>
      <c r="L75" s="19">
        <f>IF(ISNUMBER(E75),(LD_SPBase-MAX(LD_SPMin,MIN(E75,LD_SPBase)))/(LD_SPMax-LD_SPMin),NA())</f>
        <v>0.0040000000000000036</v>
      </c>
      <c r="M75" s="19">
        <f>IF(ISNUMBER(E75),(MIN(LD_SPMax,MAX(E75,LD_SPBase))-LD_SPBase)/(LD_SPMax-LD_SPMin),NA())</f>
        <v>0</v>
      </c>
      <c r="N75" s="19">
        <f>IF(ISNUMBER(F75),MAX(0,MIN(1,(F75-LD_GRMin)/(LD_GRMax-LD_GRMin))),NA())</f>
        <v>0.754</v>
      </c>
      <c r="O75" s="0">
        <f>IF(ISNUMBER(F75),(F75&gt;=LD_GRB1)+(F75&gt;=LD_GRB2)+(F75&gt;=LD_GRB3)+(F75&gt;=LD_GRB4),NA())</f>
        <v>4</v>
      </c>
      <c r="P75" s="19">
        <f>IF(ISNUMBER(O75),IF(O75=0,N75,0),NA())</f>
        <v>0</v>
      </c>
      <c r="Q75" s="19">
        <f>IF(ISNUMBER(O75),IF(O75=1,N75,0),NA())</f>
        <v>0</v>
      </c>
      <c r="R75" s="19">
        <f>IF(ISNUMBER(O75),IF(O75=2,N75,0),NA())</f>
        <v>0</v>
      </c>
      <c r="S75" s="19">
        <f>IF(ISNUMBER(O75),IF(O75=3,N75,0),NA())</f>
        <v>0</v>
      </c>
      <c r="T75" s="19">
        <f>IF(ISNUMBER(O75),IF(O75=4,N75,0),NA())</f>
        <v>0.754</v>
      </c>
      <c r="U75" s="19">
        <f>IF(ISNUMBER(G75),MAX(0,MIN(1,(LOG10(G75)-LD_RLog0)/LD_RSpan)),NA())</f>
        <v>0.2438579521273157</v>
      </c>
      <c r="V75" s="19">
        <f>IF(ISNUMBER(H75),MAX(0,MIN(1,(LOG10(H75)-LD_RLog0)/LD_RSpan)),NA())</f>
        <v>0.25425833482469506</v>
      </c>
      <c r="W75" s="19">
        <f>IF(ISNUMBER(I75),MAX(0,MIN(1,(LOG10(I75)-LD_RLog0)/LD_RSpan)),NA())</f>
        <v>0.2702467617277218</v>
      </c>
      <c r="Y75" s="19"/>
      <c r="Z75" s="19"/>
      <c r="AA75" s="19">
        <f>MAX(0,MIN(1,(LD_Dec0+3+LOG10(8)-LD_RLog0)/LD_RSpan))</f>
        <v>0.9005149978319906</v>
      </c>
      <c r="AB75" s="19">
        <v>120.5</v>
      </c>
    </row>
    <row r="76">
      <c r="A76" s="0">
        <v>62</v>
      </c>
      <c r="B76" s="18">
        <f>LD_Top+(A76+0.5)*LD_Step</f>
        <v>5062.5</v>
      </c>
      <c r="C76" s="0">
        <f>IF(OR(LD_N&lt;2,B76&lt;LD_First,B76&gt;LD_Last),0,MIN(MATCH(B76,LD_Depth,1),LD_N-1))</f>
        <v>126</v>
      </c>
      <c r="D76" s="19">
        <f>IF(C76=0,0,(B76-INDEX(LD_Depth,C76))/(INDEX(LD_Depth,C76+1)-INDEX(LD_Depth,C76)))</f>
        <v>0</v>
      </c>
      <c r="E76" s="0">
        <f>IF(C76=0,NA(),IF(AND(IF(ISNUMBER(INDEX(LD_SP,C76)),INDEX(LD_SP,C76)&lt;&gt;LD_Null,FALSE),OR(D76=0,IF(ISNUMBER(INDEX(LD_SP,C76+1)),INDEX(LD_SP,C76+1)&lt;&gt;LD_Null,FALSE))),IF(D76=0,INDEX(LD_SP,C76),INDEX(LD_SP,C76)+D76*(INDEX(LD_SP,C76+1)-INDEX(LD_SP,C76))),NA()))</f>
        <v>-16.2</v>
      </c>
      <c r="F76" s="0">
        <f>IF(C76=0,NA(),IF(AND(IF(ISNUMBER(INDEX(LD_GR,C76)),INDEX(LD_GR,C76)&lt;&gt;LD_Null,FALSE),OR(D76=0,IF(ISNUMBER(INDEX(LD_GR,C76+1)),INDEX(LD_GR,C76+1)&lt;&gt;LD_Null,FALSE))),IF(D76=0,INDEX(LD_GR,C76),INDEX(LD_GR,C76)+D76*(INDEX(LD_GR,C76+1)-INDEX(LD_GR,C76))),NA()))</f>
        <v>112.4</v>
      </c>
      <c r="G76" s="0">
        <f>IF(C76=0,NA(),IF(AND(IF(ISNUMBER(INDEX(LD_RS,C76)),AND(INDEX(LD_RS,C76)&lt;&gt;LD_Null,INDEX(LD_RS,C76)&gt;0),FALSE),OR(D76=0,IF(ISNUMBER(INDEX(LD_RS,C76+1)),AND(INDEX(LD_RS,C76+1)&lt;&gt;LD_Null,INDEX(LD_RS,C76+1)&gt;0),FALSE))),IF(D76=0,INDEX(LD_RS,C76),INDEX(LD_RS,C76)+D76*(INDEX(LD_RS,C76+1)-INDEX(LD_RS,C76))),NA()))</f>
        <v>2.13</v>
      </c>
      <c r="H76" s="0">
        <f>IF(C76=0,NA(),IF(AND(IF(ISNUMBER(INDEX(LD_RM,C76)),AND(INDEX(LD_RM,C76)&lt;&gt;LD_Null,INDEX(LD_RM,C76)&gt;0),FALSE),OR(D76=0,IF(ISNUMBER(INDEX(LD_RM,C76+1)),AND(INDEX(LD_RM,C76+1)&lt;&gt;LD_Null,INDEX(LD_RM,C76+1)&gt;0),FALSE))),IF(D76=0,INDEX(LD_RM,C76),INDEX(LD_RM,C76)+D76*(INDEX(LD_RM,C76+1)-INDEX(LD_RM,C76))),NA()))</f>
        <v>2.36</v>
      </c>
      <c r="I76" s="0">
        <f>IF(C76=0,NA(),IF(AND(IF(ISNUMBER(INDEX(LD_RD,C76)),AND(INDEX(LD_RD,C76)&lt;&gt;LD_Null,INDEX(LD_RD,C76)&gt;0),FALSE),OR(D76=0,IF(ISNUMBER(INDEX(LD_RD,C76+1)),AND(INDEX(LD_RD,C76+1)&lt;&gt;LD_Null,INDEX(LD_RD,C76+1)&gt;0),FALSE))),IF(D76=0,INDEX(LD_RD,C76),INDEX(LD_RD,C76)+D76*(INDEX(LD_RD,C76+1)-INDEX(LD_RD,C76))),NA()))</f>
        <v>2.47</v>
      </c>
      <c r="J76" s="19">
        <f>IF(ISNUMBER(F76),MAX(0,MIN(1,(F76-LD_GRClean)/(LD_GRShale-LD_GRClean))),NA())</f>
        <v>0.9694117647058824</v>
      </c>
      <c r="K76" s="19">
        <f>IF(ISNUMBER(E76),(MAX(LD_SPMin,MIN(E76,LD_SPBase))-LD_SPMin)/(LD_SPMax-LD_SPMin),NA())</f>
        <v>0.838</v>
      </c>
      <c r="L76" s="19">
        <f>IF(ISNUMBER(E76),(LD_SPBase-MAX(LD_SPMin,MIN(E76,LD_SPBase)))/(LD_SPMax-LD_SPMin),NA())</f>
        <v>0.011999999999999993</v>
      </c>
      <c r="M76" s="19">
        <f>IF(ISNUMBER(E76),(MIN(LD_SPMax,MAX(E76,LD_SPBase))-LD_SPBase)/(LD_SPMax-LD_SPMin),NA())</f>
        <v>0</v>
      </c>
      <c r="N76" s="19">
        <f>IF(ISNUMBER(F76),MAX(0,MIN(1,(F76-LD_GRMin)/(LD_GRMax-LD_GRMin))),NA())</f>
        <v>0.7493333333333334</v>
      </c>
      <c r="O76" s="0">
        <f>IF(ISNUMBER(F76),(F76&gt;=LD_GRB1)+(F76&gt;=LD_GRB2)+(F76&gt;=LD_GRB3)+(F76&gt;=LD_GRB4),NA())</f>
        <v>4</v>
      </c>
      <c r="P76" s="19">
        <f>IF(ISNUMBER(O76),IF(O76=0,N76,0),NA())</f>
        <v>0</v>
      </c>
      <c r="Q76" s="19">
        <f>IF(ISNUMBER(O76),IF(O76=1,N76,0),NA())</f>
        <v>0</v>
      </c>
      <c r="R76" s="19">
        <f>IF(ISNUMBER(O76),IF(O76=2,N76,0),NA())</f>
        <v>0</v>
      </c>
      <c r="S76" s="19">
        <f>IF(ISNUMBER(O76),IF(O76=3,N76,0),NA())</f>
        <v>0</v>
      </c>
      <c r="T76" s="19">
        <f>IF(ISNUMBER(O76),IF(O76=4,N76,0),NA())</f>
        <v>0.7493333333333334</v>
      </c>
      <c r="U76" s="19">
        <f>IF(ISNUMBER(G76),MAX(0,MIN(1,(LOG10(G76)-LD_RLog0)/LD_RSpan)),NA())</f>
        <v>0.2568374019436891</v>
      </c>
      <c r="V76" s="19">
        <f>IF(ISNUMBER(H76),MAX(0,MIN(1,(LOG10(H76)-LD_RLog0)/LD_RSpan)),NA())</f>
        <v>0.2679705018265313</v>
      </c>
      <c r="W76" s="19">
        <f>IF(ISNUMBER(I76),MAX(0,MIN(1,(LOG10(I76)-LD_RLog0)/LD_RSpan)),NA())</f>
        <v>0.27291673939892114</v>
      </c>
      <c r="Y76" s="19"/>
      <c r="Z76" s="19"/>
      <c r="AA76" s="19">
        <f>MAX(0,MIN(1,(LD_Dec0+3+LOG10(9)-LD_RLog0)/LD_RSpan))</f>
        <v>0.9133031284438359</v>
      </c>
      <c r="AB76" s="19">
        <v>120.5</v>
      </c>
    </row>
    <row r="77">
      <c r="A77" s="0">
        <v>63</v>
      </c>
      <c r="B77" s="18">
        <f>LD_Top+(A77+0.5)*LD_Step</f>
        <v>5063.5</v>
      </c>
      <c r="C77" s="0">
        <f>IF(OR(LD_N&lt;2,B77&lt;LD_First,B77&gt;LD_Last),0,MIN(MATCH(B77,LD_Depth,1),LD_N-1))</f>
        <v>128</v>
      </c>
      <c r="D77" s="19">
        <f>IF(C77=0,0,(B77-INDEX(LD_Depth,C77))/(INDEX(LD_Depth,C77+1)-INDEX(LD_Depth,C77)))</f>
        <v>0</v>
      </c>
      <c r="E77" s="0">
        <f>IF(C77=0,NA(),IF(AND(IF(ISNUMBER(INDEX(LD_SP,C77)),INDEX(LD_SP,C77)&lt;&gt;LD_Null,FALSE),OR(D77=0,IF(ISNUMBER(INDEX(LD_SP,C77+1)),INDEX(LD_SP,C77+1)&lt;&gt;LD_Null,FALSE))),IF(D77=0,INDEX(LD_SP,C77),INDEX(LD_SP,C77)+D77*(INDEX(LD_SP,C77+1)-INDEX(LD_SP,C77))),NA()))</f>
        <v>-14</v>
      </c>
      <c r="F77" s="0">
        <f>IF(C77=0,NA(),IF(AND(IF(ISNUMBER(INDEX(LD_GR,C77)),INDEX(LD_GR,C77)&lt;&gt;LD_Null,FALSE),OR(D77=0,IF(ISNUMBER(INDEX(LD_GR,C77+1)),INDEX(LD_GR,C77+1)&lt;&gt;LD_Null,FALSE))),IF(D77=0,INDEX(LD_GR,C77),INDEX(LD_GR,C77)+D77*(INDEX(LD_GR,C77+1)-INDEX(LD_GR,C77))),NA()))</f>
        <v>116.4</v>
      </c>
      <c r="G77" s="0">
        <f>IF(C77=0,NA(),IF(AND(IF(ISNUMBER(INDEX(LD_RS,C77)),AND(INDEX(LD_RS,C77)&lt;&gt;LD_Null,INDEX(LD_RS,C77)&gt;0),FALSE),OR(D77=0,IF(ISNUMBER(INDEX(LD_RS,C77+1)),AND(INDEX(LD_RS,C77+1)&lt;&gt;LD_Null,INDEX(LD_RS,C77+1)&gt;0),FALSE))),IF(D77=0,INDEX(LD_RS,C77),INDEX(LD_RS,C77)+D77*(INDEX(LD_RS,C77+1)-INDEX(LD_RS,C77))),NA()))</f>
        <v>2.01</v>
      </c>
      <c r="H77" s="0">
        <f>IF(C77=0,NA(),IF(AND(IF(ISNUMBER(INDEX(LD_RM,C77)),AND(INDEX(LD_RM,C77)&lt;&gt;LD_Null,INDEX(LD_RM,C77)&gt;0),FALSE),OR(D77=0,IF(ISNUMBER(INDEX(LD_RM,C77+1)),AND(INDEX(LD_RM,C77+1)&lt;&gt;LD_Null,INDEX(LD_RM,C77+1)&gt;0),FALSE))),IF(D77=0,INDEX(LD_RM,C77),INDEX(LD_RM,C77)+D77*(INDEX(LD_RM,C77+1)-INDEX(LD_RM,C77))),NA()))</f>
        <v>2.27</v>
      </c>
      <c r="I77" s="0">
        <f>IF(C77=0,NA(),IF(AND(IF(ISNUMBER(INDEX(LD_RD,C77)),AND(INDEX(LD_RD,C77)&lt;&gt;LD_Null,INDEX(LD_RD,C77)&gt;0),FALSE),OR(D77=0,IF(ISNUMBER(INDEX(LD_RD,C77+1)),AND(INDEX(LD_RD,C77+1)&lt;&gt;LD_Null,INDEX(LD_RD,C77+1)&gt;0),FALSE))),IF(D77=0,INDEX(LD_RD,C77),INDEX(LD_RD,C77)+D77*(INDEX(LD_RD,C77+1)-INDEX(LD_RD,C77))),NA()))</f>
        <v>2.41</v>
      </c>
      <c r="J77" s="19">
        <f>IF(ISNUMBER(F77),MAX(0,MIN(1,(F77-LD_GRClean)/(LD_GRShale-LD_GRClean))),NA())</f>
        <v>1</v>
      </c>
      <c r="K77" s="19">
        <f>IF(ISNUMBER(E77),(MAX(LD_SPMin,MIN(E77,LD_SPBase))-LD_SPMin)/(LD_SPMax-LD_SPMin),NA())</f>
        <v>0.85</v>
      </c>
      <c r="L77" s="19">
        <f>IF(ISNUMBER(E77),(LD_SPBase-MAX(LD_SPMin,MIN(E77,LD_SPBase)))/(LD_SPMax-LD_SPMin),NA())</f>
        <v>0</v>
      </c>
      <c r="M77" s="19">
        <f>IF(ISNUMBER(E77),(MIN(LD_SPMax,MAX(E77,LD_SPBase))-LD_SPBase)/(LD_SPMax-LD_SPMin),NA())</f>
        <v>0.01</v>
      </c>
      <c r="N77" s="19">
        <f>IF(ISNUMBER(F77),MAX(0,MIN(1,(F77-LD_GRMin)/(LD_GRMax-LD_GRMin))),NA())</f>
        <v>0.776</v>
      </c>
      <c r="O77" s="0">
        <f>IF(ISNUMBER(F77),(F77&gt;=LD_GRB1)+(F77&gt;=LD_GRB2)+(F77&gt;=LD_GRB3)+(F77&gt;=LD_GRB4),NA())</f>
        <v>4</v>
      </c>
      <c r="P77" s="19">
        <f>IF(ISNUMBER(O77),IF(O77=0,N77,0),NA())</f>
        <v>0</v>
      </c>
      <c r="Q77" s="19">
        <f>IF(ISNUMBER(O77),IF(O77=1,N77,0),NA())</f>
        <v>0</v>
      </c>
      <c r="R77" s="19">
        <f>IF(ISNUMBER(O77),IF(O77=2,N77,0),NA())</f>
        <v>0</v>
      </c>
      <c r="S77" s="19">
        <f>IF(ISNUMBER(O77),IF(O77=3,N77,0),NA())</f>
        <v>0</v>
      </c>
      <c r="T77" s="19">
        <f>IF(ISNUMBER(O77),IF(O77=4,N77,0),NA())</f>
        <v>0.776</v>
      </c>
      <c r="U77" s="19">
        <f>IF(ISNUMBER(G77),MAX(0,MIN(1,(LOG10(G77)-LD_RLog0)/LD_RSpan)),NA())</f>
        <v>0.2505415154391269</v>
      </c>
      <c r="V77" s="19">
        <f>IF(ISNUMBER(H77),MAX(0,MIN(1,(LOG10(H77)-LD_RLog0)/LD_RSpan)),NA())</f>
        <v>0.26374896538228537</v>
      </c>
      <c r="W77" s="19">
        <f>IF(ISNUMBER(I77),MAX(0,MIN(1,(LOG10(I77)-LD_RLog0)/LD_RSpan)),NA())</f>
        <v>0.2702467617277218</v>
      </c>
      <c r="Y77" s="19"/>
      <c r="Z77" s="19"/>
      <c r="AA77" s="19">
        <f>MAX(0,MIN(1,(LD_Dec0+3+LOG10(9)-LD_RLog0)/LD_RSpan))</f>
        <v>0.9133031284438359</v>
      </c>
      <c r="AB77" s="19">
        <v>-1.5</v>
      </c>
    </row>
    <row r="78">
      <c r="A78" s="0">
        <v>64</v>
      </c>
      <c r="B78" s="18">
        <f>LD_Top+(A78+0.5)*LD_Step</f>
        <v>5064.5</v>
      </c>
      <c r="C78" s="0">
        <f>IF(OR(LD_N&lt;2,B78&lt;LD_First,B78&gt;LD_Last),0,MIN(MATCH(B78,LD_Depth,1),LD_N-1))</f>
        <v>130</v>
      </c>
      <c r="D78" s="19">
        <f>IF(C78=0,0,(B78-INDEX(LD_Depth,C78))/(INDEX(LD_Depth,C78+1)-INDEX(LD_Depth,C78)))</f>
        <v>0</v>
      </c>
      <c r="E78" s="0">
        <f>IF(C78=0,NA(),IF(AND(IF(ISNUMBER(INDEX(LD_SP,C78)),INDEX(LD_SP,C78)&lt;&gt;LD_Null,FALSE),OR(D78=0,IF(ISNUMBER(INDEX(LD_SP,C78+1)),INDEX(LD_SP,C78+1)&lt;&gt;LD_Null,FALSE))),IF(D78=0,INDEX(LD_SP,C78),INDEX(LD_SP,C78)+D78*(INDEX(LD_SP,C78+1)-INDEX(LD_SP,C78))),NA()))</f>
        <v>-14.6</v>
      </c>
      <c r="F78" s="0">
        <f>IF(C78=0,NA(),IF(AND(IF(ISNUMBER(INDEX(LD_GR,C78)),INDEX(LD_GR,C78)&lt;&gt;LD_Null,FALSE),OR(D78=0,IF(ISNUMBER(INDEX(LD_GR,C78+1)),INDEX(LD_GR,C78+1)&lt;&gt;LD_Null,FALSE))),IF(D78=0,INDEX(LD_GR,C78),INDEX(LD_GR,C78)+D78*(INDEX(LD_GR,C78+1)-INDEX(LD_GR,C78))),NA()))</f>
        <v>116.8</v>
      </c>
      <c r="G78" s="0">
        <f>IF(C78=0,NA(),IF(AND(IF(ISNUMBER(INDEX(LD_RS,C78)),AND(INDEX(LD_RS,C78)&lt;&gt;LD_Null,INDEX(LD_RS,C78)&gt;0),FALSE),OR(D78=0,IF(ISNUMBER(INDEX(LD_RS,C78+1)),AND(INDEX(LD_RS,C78+1)&lt;&gt;LD_Null,INDEX(LD_RS,C78+1)&gt;0),FALSE))),IF(D78=0,INDEX(LD_RS,C78),INDEX(LD_RS,C78)+D78*(INDEX(LD_RS,C78+1)-INDEX(LD_RS,C78))),NA()))</f>
        <v>1.97</v>
      </c>
      <c r="H78" s="0">
        <f>IF(C78=0,NA(),IF(AND(IF(ISNUMBER(INDEX(LD_RM,C78)),AND(INDEX(LD_RM,C78)&lt;&gt;LD_Null,INDEX(LD_RM,C78)&gt;0),FALSE),OR(D78=0,IF(ISNUMBER(INDEX(LD_RM,C78+1)),AND(INDEX(LD_RM,C78+1)&lt;&gt;LD_Null,INDEX(LD_RM,C78+1)&gt;0),FALSE))),IF(D78=0,INDEX(LD_RM,C78),INDEX(LD_RM,C78)+D78*(INDEX(LD_RM,C78+1)-INDEX(LD_RM,C78))),NA()))</f>
        <v>1.99</v>
      </c>
      <c r="I78" s="0">
        <f>IF(C78=0,NA(),IF(AND(IF(ISNUMBER(INDEX(LD_RD,C78)),AND(INDEX(LD_RD,C78)&lt;&gt;LD_Null,INDEX(LD_RD,C78)&gt;0),FALSE),OR(D78=0,IF(ISNUMBER(INDEX(LD_RD,C78+1)),AND(INDEX(LD_RD,C78+1)&lt;&gt;LD_Null,INDEX(LD_RD,C78+1)&gt;0),FALSE))),IF(D78=0,INDEX(LD_RD,C78),INDEX(LD_RD,C78)+D78*(INDEX(LD_RD,C78+1)-INDEX(LD_RD,C78))),NA()))</f>
        <v>2.24</v>
      </c>
      <c r="J78" s="19">
        <f>IF(ISNUMBER(F78),MAX(0,MIN(1,(F78-LD_GRClean)/(LD_GRShale-LD_GRClean))),NA())</f>
        <v>1</v>
      </c>
      <c r="K78" s="19">
        <f>IF(ISNUMBER(E78),(MAX(LD_SPMin,MIN(E78,LD_SPBase))-LD_SPMin)/(LD_SPMax-LD_SPMin),NA())</f>
        <v>0.85</v>
      </c>
      <c r="L78" s="19">
        <f>IF(ISNUMBER(E78),(LD_SPBase-MAX(LD_SPMin,MIN(E78,LD_SPBase)))/(LD_SPMax-LD_SPMin),NA())</f>
        <v>0</v>
      </c>
      <c r="M78" s="19">
        <f>IF(ISNUMBER(E78),(MIN(LD_SPMax,MAX(E78,LD_SPBase))-LD_SPBase)/(LD_SPMax-LD_SPMin),NA())</f>
        <v>0.0040000000000000036</v>
      </c>
      <c r="N78" s="19">
        <f>IF(ISNUMBER(F78),MAX(0,MIN(1,(F78-LD_GRMin)/(LD_GRMax-LD_GRMin))),NA())</f>
        <v>0.7786666666666666</v>
      </c>
      <c r="O78" s="0">
        <f>IF(ISNUMBER(F78),(F78&gt;=LD_GRB1)+(F78&gt;=LD_GRB2)+(F78&gt;=LD_GRB3)+(F78&gt;=LD_GRB4),NA())</f>
        <v>4</v>
      </c>
      <c r="P78" s="19">
        <f>IF(ISNUMBER(O78),IF(O78=0,N78,0),NA())</f>
        <v>0</v>
      </c>
      <c r="Q78" s="19">
        <f>IF(ISNUMBER(O78),IF(O78=1,N78,0),NA())</f>
        <v>0</v>
      </c>
      <c r="R78" s="19">
        <f>IF(ISNUMBER(O78),IF(O78=2,N78,0),NA())</f>
        <v>0</v>
      </c>
      <c r="S78" s="19">
        <f>IF(ISNUMBER(O78),IF(O78=3,N78,0),NA())</f>
        <v>0</v>
      </c>
      <c r="T78" s="19">
        <f>IF(ISNUMBER(O78),IF(O78=4,N78,0),NA())</f>
        <v>0.7786666666666666</v>
      </c>
      <c r="U78" s="19">
        <f>IF(ISNUMBER(G78),MAX(0,MIN(1,(LOG10(G78)-LD_RLog0)/LD_RSpan)),NA())</f>
        <v>0.2483590576244029</v>
      </c>
      <c r="V78" s="19">
        <f>IF(ISNUMBER(H78),MAX(0,MIN(1,(LOG10(H78)-LD_RLog0)/LD_RSpan)),NA())</f>
        <v>0.24945577018643134</v>
      </c>
      <c r="W78" s="19">
        <f>IF(ISNUMBER(I78),MAX(0,MIN(1,(LOG10(I78)-LD_RLog0)/LD_RSpan)),NA())</f>
        <v>0.2623045056675454</v>
      </c>
      <c r="Y78" s="19"/>
      <c r="Z78" s="19"/>
      <c r="AA78" s="19">
        <f>MAX(0,MIN(1,(LD_Dec0+4+LOG10(2)-LD_RLog0)/LD_RSpan))</f>
        <v>1</v>
      </c>
      <c r="AB78" s="19">
        <v>-1.5</v>
      </c>
    </row>
    <row r="79">
      <c r="A79" s="0">
        <v>65</v>
      </c>
      <c r="B79" s="18">
        <f>LD_Top+(A79+0.5)*LD_Step</f>
        <v>5065.5</v>
      </c>
      <c r="C79" s="0">
        <f>IF(OR(LD_N&lt;2,B79&lt;LD_First,B79&gt;LD_Last),0,MIN(MATCH(B79,LD_Depth,1),LD_N-1))</f>
        <v>132</v>
      </c>
      <c r="D79" s="19">
        <f>IF(C79=0,0,(B79-INDEX(LD_Depth,C79))/(INDEX(LD_Depth,C79+1)-INDEX(LD_Depth,C79)))</f>
        <v>0</v>
      </c>
      <c r="E79" s="0">
        <f>IF(C79=0,NA(),IF(AND(IF(ISNUMBER(INDEX(LD_SP,C79)),INDEX(LD_SP,C79)&lt;&gt;LD_Null,FALSE),OR(D79=0,IF(ISNUMBER(INDEX(LD_SP,C79+1)),INDEX(LD_SP,C79+1)&lt;&gt;LD_Null,FALSE))),IF(D79=0,INDEX(LD_SP,C79),INDEX(LD_SP,C79)+D79*(INDEX(LD_SP,C79+1)-INDEX(LD_SP,C79))),NA()))</f>
        <v>-16.1</v>
      </c>
      <c r="F79" s="0">
        <f>IF(C79=0,NA(),IF(AND(IF(ISNUMBER(INDEX(LD_GR,C79)),INDEX(LD_GR,C79)&lt;&gt;LD_Null,FALSE),OR(D79=0,IF(ISNUMBER(INDEX(LD_GR,C79+1)),INDEX(LD_GR,C79+1)&lt;&gt;LD_Null,FALSE))),IF(D79=0,INDEX(LD_GR,C79),INDEX(LD_GR,C79)+D79*(INDEX(LD_GR,C79+1)-INDEX(LD_GR,C79))),NA()))</f>
        <v>112.9</v>
      </c>
      <c r="G79" s="0">
        <f>IF(C79=0,NA(),IF(AND(IF(ISNUMBER(INDEX(LD_RS,C79)),AND(INDEX(LD_RS,C79)&lt;&gt;LD_Null,INDEX(LD_RS,C79)&gt;0),FALSE),OR(D79=0,IF(ISNUMBER(INDEX(LD_RS,C79+1)),AND(INDEX(LD_RS,C79+1)&lt;&gt;LD_Null,INDEX(LD_RS,C79+1)&gt;0),FALSE))),IF(D79=0,INDEX(LD_RS,C79),INDEX(LD_RS,C79)+D79*(INDEX(LD_RS,C79+1)-INDEX(LD_RS,C79))),NA()))</f>
        <v>1.95</v>
      </c>
      <c r="H79" s="0">
        <f>IF(C79=0,NA(),IF(AND(IF(ISNUMBER(INDEX(LD_RM,C79)),AND(INDEX(LD_RM,C79)&lt;&gt;LD_Null,INDEX(LD_RM,C79)&gt;0),FALSE),OR(D79=0,IF(ISNUMBER(INDEX(LD_RM,C79+1)),AND(INDEX(LD_RM,C79+1)&lt;&gt;LD_Null,INDEX(LD_RM,C79+1)&gt;0),FALSE))),IF(D79=0,INDEX(LD_RM,C79),INDEX(LD_RM,C79)+D79*(INDEX(LD_RM,C79+1)-INDEX(LD_RM,C79))),NA()))</f>
        <v>2.28</v>
      </c>
      <c r="I79" s="0">
        <f>IF(C79=0,NA(),IF(AND(IF(ISNUMBER(INDEX(LD_RD,C79)),AND(INDEX(LD_RD,C79)&lt;&gt;LD_Null,INDEX(LD_RD,C79)&gt;0),FALSE),OR(D79=0,IF(ISNUMBER(INDEX(LD_RD,C79+1)),AND(INDEX(LD_RD,C79+1)&lt;&gt;LD_Null,INDEX(LD_RD,C79+1)&gt;0),FALSE))),IF(D79=0,INDEX(LD_RD,C79),INDEX(LD_RD,C79)+D79*(INDEX(LD_RD,C79+1)-INDEX(LD_RD,C79))),NA()))</f>
        <v>2.49</v>
      </c>
      <c r="J79" s="19">
        <f>IF(ISNUMBER(F79),MAX(0,MIN(1,(F79-LD_GRClean)/(LD_GRShale-LD_GRClean))),NA())</f>
        <v>0.9752941176470589</v>
      </c>
      <c r="K79" s="19">
        <f>IF(ISNUMBER(E79),(MAX(LD_SPMin,MIN(E79,LD_SPBase))-LD_SPMin)/(LD_SPMax-LD_SPMin),NA())</f>
        <v>0.8390000000000001</v>
      </c>
      <c r="L79" s="19">
        <f>IF(ISNUMBER(E79),(LD_SPBase-MAX(LD_SPMin,MIN(E79,LD_SPBase)))/(LD_SPMax-LD_SPMin),NA())</f>
        <v>0.011000000000000015</v>
      </c>
      <c r="M79" s="19">
        <f>IF(ISNUMBER(E79),(MIN(LD_SPMax,MAX(E79,LD_SPBase))-LD_SPBase)/(LD_SPMax-LD_SPMin),NA())</f>
        <v>0</v>
      </c>
      <c r="N79" s="19">
        <f>IF(ISNUMBER(F79),MAX(0,MIN(1,(F79-LD_GRMin)/(LD_GRMax-LD_GRMin))),NA())</f>
        <v>0.7526666666666667</v>
      </c>
      <c r="O79" s="0">
        <f>IF(ISNUMBER(F79),(F79&gt;=LD_GRB1)+(F79&gt;=LD_GRB2)+(F79&gt;=LD_GRB3)+(F79&gt;=LD_GRB4),NA())</f>
        <v>4</v>
      </c>
      <c r="P79" s="19">
        <f>IF(ISNUMBER(O79),IF(O79=0,N79,0),NA())</f>
        <v>0</v>
      </c>
      <c r="Q79" s="19">
        <f>IF(ISNUMBER(O79),IF(O79=1,N79,0),NA())</f>
        <v>0</v>
      </c>
      <c r="R79" s="19">
        <f>IF(ISNUMBER(O79),IF(O79=2,N79,0),NA())</f>
        <v>0</v>
      </c>
      <c r="S79" s="19">
        <f>IF(ISNUMBER(O79),IF(O79=3,N79,0),NA())</f>
        <v>0</v>
      </c>
      <c r="T79" s="19">
        <f>IF(ISNUMBER(O79),IF(O79=4,N79,0),NA())</f>
        <v>0.7526666666666667</v>
      </c>
      <c r="U79" s="19">
        <f>IF(ISNUMBER(G79),MAX(0,MIN(1,(LOG10(G79)-LD_RLog0)/LD_RSpan)),NA())</f>
        <v>0.2472511539246342</v>
      </c>
      <c r="V79" s="19">
        <f>IF(ISNUMBER(H79),MAX(0,MIN(1,(LOG10(H79)-LD_RLog0)/LD_RSpan)),NA())</f>
        <v>0.2642262128341181</v>
      </c>
      <c r="W79" s="19">
        <f>IF(ISNUMBER(I79),MAX(0,MIN(1,(LOG10(I79)-LD_RLog0)/LD_RSpan)),NA())</f>
        <v>0.2737923378579388</v>
      </c>
      <c r="Y79" s="19"/>
      <c r="Z79" s="19"/>
      <c r="AA79" s="19">
        <f>MAX(0,MIN(1,(LD_Dec0+4+LOG10(2)-LD_RLog0)/LD_RSpan))</f>
        <v>1</v>
      </c>
      <c r="AB79" s="19">
        <v>120.5</v>
      </c>
    </row>
    <row r="80">
      <c r="A80" s="0">
        <v>66</v>
      </c>
      <c r="B80" s="18">
        <f>LD_Top+(A80+0.5)*LD_Step</f>
        <v>5066.5</v>
      </c>
      <c r="C80" s="0">
        <f>IF(OR(LD_N&lt;2,B80&lt;LD_First,B80&gt;LD_Last),0,MIN(MATCH(B80,LD_Depth,1),LD_N-1))</f>
        <v>134</v>
      </c>
      <c r="D80" s="19">
        <f>IF(C80=0,0,(B80-INDEX(LD_Depth,C80))/(INDEX(LD_Depth,C80+1)-INDEX(LD_Depth,C80)))</f>
        <v>0</v>
      </c>
      <c r="E80" s="0">
        <f>IF(C80=0,NA(),IF(AND(IF(ISNUMBER(INDEX(LD_SP,C80)),INDEX(LD_SP,C80)&lt;&gt;LD_Null,FALSE),OR(D80=0,IF(ISNUMBER(INDEX(LD_SP,C80+1)),INDEX(LD_SP,C80+1)&lt;&gt;LD_Null,FALSE))),IF(D80=0,INDEX(LD_SP,C80),INDEX(LD_SP,C80)+D80*(INDEX(LD_SP,C80+1)-INDEX(LD_SP,C80))),NA()))</f>
        <v>-15.1</v>
      </c>
      <c r="F80" s="0">
        <f>IF(C80=0,NA(),IF(AND(IF(ISNUMBER(INDEX(LD_GR,C80)),INDEX(LD_GR,C80)&lt;&gt;LD_Null,FALSE),OR(D80=0,IF(ISNUMBER(INDEX(LD_GR,C80+1)),INDEX(LD_GR,C80+1)&lt;&gt;LD_Null,FALSE))),IF(D80=0,INDEX(LD_GR,C80),INDEX(LD_GR,C80)+D80*(INDEX(LD_GR,C80+1)-INDEX(LD_GR,C80))),NA()))</f>
        <v>114.8</v>
      </c>
      <c r="G80" s="0">
        <f>IF(C80=0,NA(),IF(AND(IF(ISNUMBER(INDEX(LD_RS,C80)),AND(INDEX(LD_RS,C80)&lt;&gt;LD_Null,INDEX(LD_RS,C80)&gt;0),FALSE),OR(D80=0,IF(ISNUMBER(INDEX(LD_RS,C80+1)),AND(INDEX(LD_RS,C80+1)&lt;&gt;LD_Null,INDEX(LD_RS,C80+1)&gt;0),FALSE))),IF(D80=0,INDEX(LD_RS,C80),INDEX(LD_RS,C80)+D80*(INDEX(LD_RS,C80+1)-INDEX(LD_RS,C80))),NA()))</f>
        <v>2.07</v>
      </c>
      <c r="H80" s="0">
        <f>IF(C80=0,NA(),IF(AND(IF(ISNUMBER(INDEX(LD_RM,C80)),AND(INDEX(LD_RM,C80)&lt;&gt;LD_Null,INDEX(LD_RM,C80)&gt;0),FALSE),OR(D80=0,IF(ISNUMBER(INDEX(LD_RM,C80+1)),AND(INDEX(LD_RM,C80+1)&lt;&gt;LD_Null,INDEX(LD_RM,C80+1)&gt;0),FALSE))),IF(D80=0,INDEX(LD_RM,C80),INDEX(LD_RM,C80)+D80*(INDEX(LD_RM,C80+1)-INDEX(LD_RM,C80))),NA()))</f>
        <v>2.35</v>
      </c>
      <c r="I80" s="0">
        <f>IF(C80=0,NA(),IF(AND(IF(ISNUMBER(INDEX(LD_RD,C80)),AND(INDEX(LD_RD,C80)&lt;&gt;LD_Null,INDEX(LD_RD,C80)&gt;0),FALSE),OR(D80=0,IF(ISNUMBER(INDEX(LD_RD,C80+1)),AND(INDEX(LD_RD,C80+1)&lt;&gt;LD_Null,INDEX(LD_RD,C80+1)&gt;0),FALSE))),IF(D80=0,INDEX(LD_RD,C80),INDEX(LD_RD,C80)+D80*(INDEX(LD_RD,C80+1)-INDEX(LD_RD,C80))),NA()))</f>
        <v>2.57</v>
      </c>
      <c r="J80" s="19">
        <f>IF(ISNUMBER(F80),MAX(0,MIN(1,(F80-LD_GRClean)/(LD_GRShale-LD_GRClean))),NA())</f>
        <v>0.9976470588235293</v>
      </c>
      <c r="K80" s="19">
        <f>IF(ISNUMBER(E80),(MAX(LD_SPMin,MIN(E80,LD_SPBase))-LD_SPMin)/(LD_SPMax-LD_SPMin),NA())</f>
        <v>0.8490000000000001</v>
      </c>
      <c r="L80" s="19">
        <f>IF(ISNUMBER(E80),(LD_SPBase-MAX(LD_SPMin,MIN(E80,LD_SPBase)))/(LD_SPMax-LD_SPMin),NA())</f>
        <v>0.0009999999999999966</v>
      </c>
      <c r="M80" s="19">
        <f>IF(ISNUMBER(E80),(MIN(LD_SPMax,MAX(E80,LD_SPBase))-LD_SPBase)/(LD_SPMax-LD_SPMin),NA())</f>
        <v>0</v>
      </c>
      <c r="N80" s="19">
        <f>IF(ISNUMBER(F80),MAX(0,MIN(1,(F80-LD_GRMin)/(LD_GRMax-LD_GRMin))),NA())</f>
        <v>0.7653333333333333</v>
      </c>
      <c r="O80" s="0">
        <f>IF(ISNUMBER(F80),(F80&gt;=LD_GRB1)+(F80&gt;=LD_GRB2)+(F80&gt;=LD_GRB3)+(F80&gt;=LD_GRB4),NA())</f>
        <v>4</v>
      </c>
      <c r="P80" s="19">
        <f>IF(ISNUMBER(O80),IF(O80=0,N80,0),NA())</f>
        <v>0</v>
      </c>
      <c r="Q80" s="19">
        <f>IF(ISNUMBER(O80),IF(O80=1,N80,0),NA())</f>
        <v>0</v>
      </c>
      <c r="R80" s="19">
        <f>IF(ISNUMBER(O80),IF(O80=2,N80,0),NA())</f>
        <v>0</v>
      </c>
      <c r="S80" s="19">
        <f>IF(ISNUMBER(O80),IF(O80=3,N80,0),NA())</f>
        <v>0</v>
      </c>
      <c r="T80" s="19">
        <f>IF(ISNUMBER(O80),IF(O80=4,N80,0),NA())</f>
        <v>0.7653333333333333</v>
      </c>
      <c r="U80" s="19">
        <f>IF(ISNUMBER(G80),MAX(0,MIN(1,(LOG10(G80)-LD_RLog0)/LD_RSpan)),NA())</f>
        <v>0.25373508744823414</v>
      </c>
      <c r="V80" s="19">
        <f>IF(ISNUMBER(H80),MAX(0,MIN(1,(LOG10(H80)-LD_RLog0)/LD_RSpan)),NA())</f>
        <v>0.26750946665193875</v>
      </c>
      <c r="W80" s="19">
        <f>IF(ISNUMBER(I80),MAX(0,MIN(1,(LOG10(I80)-LD_RLog0)/LD_RSpan)),NA())</f>
        <v>0.27722578191682834</v>
      </c>
      <c r="Y80" s="19"/>
      <c r="Z80" s="19"/>
      <c r="AA80" s="19">
        <f>MAX(0,MIN(1,(LD_Dec0+4+LOG10(3)-LD_RLog0)/LD_RSpan))</f>
        <v>1</v>
      </c>
      <c r="AB80" s="19">
        <v>120.5</v>
      </c>
    </row>
    <row r="81">
      <c r="A81" s="0">
        <v>67</v>
      </c>
      <c r="B81" s="18">
        <f>LD_Top+(A81+0.5)*LD_Step</f>
        <v>5067.5</v>
      </c>
      <c r="C81" s="0">
        <f>IF(OR(LD_N&lt;2,B81&lt;LD_First,B81&gt;LD_Last),0,MIN(MATCH(B81,LD_Depth,1),LD_N-1))</f>
        <v>136</v>
      </c>
      <c r="D81" s="19">
        <f>IF(C81=0,0,(B81-INDEX(LD_Depth,C81))/(INDEX(LD_Depth,C81+1)-INDEX(LD_Depth,C81)))</f>
        <v>0</v>
      </c>
      <c r="E81" s="0">
        <f>IF(C81=0,NA(),IF(AND(IF(ISNUMBER(INDEX(LD_SP,C81)),INDEX(LD_SP,C81)&lt;&gt;LD_Null,FALSE),OR(D81=0,IF(ISNUMBER(INDEX(LD_SP,C81+1)),INDEX(LD_SP,C81+1)&lt;&gt;LD_Null,FALSE))),IF(D81=0,INDEX(LD_SP,C81),INDEX(LD_SP,C81)+D81*(INDEX(LD_SP,C81+1)-INDEX(LD_SP,C81))),NA()))</f>
        <v>-13.9</v>
      </c>
      <c r="F81" s="0">
        <f>IF(C81=0,NA(),IF(AND(IF(ISNUMBER(INDEX(LD_GR,C81)),INDEX(LD_GR,C81)&lt;&gt;LD_Null,FALSE),OR(D81=0,IF(ISNUMBER(INDEX(LD_GR,C81+1)),INDEX(LD_GR,C81+1)&lt;&gt;LD_Null,FALSE))),IF(D81=0,INDEX(LD_GR,C81),INDEX(LD_GR,C81)+D81*(INDEX(LD_GR,C81+1)-INDEX(LD_GR,C81))),NA()))</f>
        <v>114.5</v>
      </c>
      <c r="G81" s="0">
        <f>IF(C81=0,NA(),IF(AND(IF(ISNUMBER(INDEX(LD_RS,C81)),AND(INDEX(LD_RS,C81)&lt;&gt;LD_Null,INDEX(LD_RS,C81)&gt;0),FALSE),OR(D81=0,IF(ISNUMBER(INDEX(LD_RS,C81+1)),AND(INDEX(LD_RS,C81+1)&lt;&gt;LD_Null,INDEX(LD_RS,C81+1)&gt;0),FALSE))),IF(D81=0,INDEX(LD_RS,C81),INDEX(LD_RS,C81)+D81*(INDEX(LD_RS,C81+1)-INDEX(LD_RS,C81))),NA()))</f>
        <v>2.08</v>
      </c>
      <c r="H81" s="0">
        <f>IF(C81=0,NA(),IF(AND(IF(ISNUMBER(INDEX(LD_RM,C81)),AND(INDEX(LD_RM,C81)&lt;&gt;LD_Null,INDEX(LD_RM,C81)&gt;0),FALSE),OR(D81=0,IF(ISNUMBER(INDEX(LD_RM,C81+1)),AND(INDEX(LD_RM,C81+1)&lt;&gt;LD_Null,INDEX(LD_RM,C81+1)&gt;0),FALSE))),IF(D81=0,INDEX(LD_RM,C81),INDEX(LD_RM,C81)+D81*(INDEX(LD_RM,C81+1)-INDEX(LD_RM,C81))),NA()))</f>
        <v>2.14</v>
      </c>
      <c r="I81" s="0">
        <f>IF(C81=0,NA(),IF(AND(IF(ISNUMBER(INDEX(LD_RD,C81)),AND(INDEX(LD_RD,C81)&lt;&gt;LD_Null,INDEX(LD_RD,C81)&gt;0),FALSE),OR(D81=0,IF(ISNUMBER(INDEX(LD_RD,C81+1)),AND(INDEX(LD_RD,C81+1)&lt;&gt;LD_Null,INDEX(LD_RD,C81+1)&gt;0),FALSE))),IF(D81=0,INDEX(LD_RD,C81),INDEX(LD_RD,C81)+D81*(INDEX(LD_RD,C81+1)-INDEX(LD_RD,C81))),NA()))</f>
        <v>2.29</v>
      </c>
      <c r="J81" s="19">
        <f>IF(ISNUMBER(F81),MAX(0,MIN(1,(F81-LD_GRClean)/(LD_GRShale-LD_GRClean))),NA())</f>
        <v>0.9941176470588236</v>
      </c>
      <c r="K81" s="19">
        <f>IF(ISNUMBER(E81),(MAX(LD_SPMin,MIN(E81,LD_SPBase))-LD_SPMin)/(LD_SPMax-LD_SPMin),NA())</f>
        <v>0.85</v>
      </c>
      <c r="L81" s="19">
        <f>IF(ISNUMBER(E81),(LD_SPBase-MAX(LD_SPMin,MIN(E81,LD_SPBase)))/(LD_SPMax-LD_SPMin),NA())</f>
        <v>0</v>
      </c>
      <c r="M81" s="19">
        <f>IF(ISNUMBER(E81),(MIN(LD_SPMax,MAX(E81,LD_SPBase))-LD_SPBase)/(LD_SPMax-LD_SPMin),NA())</f>
        <v>0.010999999999999996</v>
      </c>
      <c r="N81" s="19">
        <f>IF(ISNUMBER(F81),MAX(0,MIN(1,(F81-LD_GRMin)/(LD_GRMax-LD_GRMin))),NA())</f>
        <v>0.7633333333333333</v>
      </c>
      <c r="O81" s="0">
        <f>IF(ISNUMBER(F81),(F81&gt;=LD_GRB1)+(F81&gt;=LD_GRB2)+(F81&gt;=LD_GRB3)+(F81&gt;=LD_GRB4),NA())</f>
        <v>4</v>
      </c>
      <c r="P81" s="19">
        <f>IF(ISNUMBER(O81),IF(O81=0,N81,0),NA())</f>
        <v>0</v>
      </c>
      <c r="Q81" s="19">
        <f>IF(ISNUMBER(O81),IF(O81=1,N81,0),NA())</f>
        <v>0</v>
      </c>
      <c r="R81" s="19">
        <f>IF(ISNUMBER(O81),IF(O81=2,N81,0),NA())</f>
        <v>0</v>
      </c>
      <c r="S81" s="19">
        <f>IF(ISNUMBER(O81),IF(O81=3,N81,0),NA())</f>
        <v>0</v>
      </c>
      <c r="T81" s="19">
        <f>IF(ISNUMBER(O81),IF(O81=4,N81,0),NA())</f>
        <v>0.7633333333333333</v>
      </c>
      <c r="U81" s="19">
        <f>IF(ISNUMBER(G81),MAX(0,MIN(1,(LOG10(G81)-LD_RLog0)/LD_RSpan)),NA())</f>
        <v>0.25425833482469506</v>
      </c>
      <c r="V81" s="19">
        <f>IF(ISNUMBER(H81),MAX(0,MIN(1,(LOG10(H81)-LD_RLog0)/LD_RSpan)),NA())</f>
        <v>0.25734594442130243</v>
      </c>
      <c r="W81" s="19">
        <f>IF(ISNUMBER(I81),MAX(0,MIN(1,(LOG10(I81)-LD_RLog0)/LD_RSpan)),NA())</f>
        <v>0.26470137166897667</v>
      </c>
      <c r="Y81" s="19"/>
      <c r="Z81" s="19"/>
      <c r="AA81" s="19">
        <f>MAX(0,MIN(1,(LD_Dec0+4+LOG10(3)-LD_RLog0)/LD_RSpan))</f>
        <v>1</v>
      </c>
      <c r="AB81" s="19">
        <v>-1.5</v>
      </c>
    </row>
    <row r="82">
      <c r="A82" s="0">
        <v>68</v>
      </c>
      <c r="B82" s="18">
        <f>LD_Top+(A82+0.5)*LD_Step</f>
        <v>5068.5</v>
      </c>
      <c r="C82" s="0">
        <f>IF(OR(LD_N&lt;2,B82&lt;LD_First,B82&gt;LD_Last),0,MIN(MATCH(B82,LD_Depth,1),LD_N-1))</f>
        <v>138</v>
      </c>
      <c r="D82" s="19">
        <f>IF(C82=0,0,(B82-INDEX(LD_Depth,C82))/(INDEX(LD_Depth,C82+1)-INDEX(LD_Depth,C82)))</f>
        <v>0</v>
      </c>
      <c r="E82" s="0">
        <f>IF(C82=0,NA(),IF(AND(IF(ISNUMBER(INDEX(LD_SP,C82)),INDEX(LD_SP,C82)&lt;&gt;LD_Null,FALSE),OR(D82=0,IF(ISNUMBER(INDEX(LD_SP,C82+1)),INDEX(LD_SP,C82+1)&lt;&gt;LD_Null,FALSE))),IF(D82=0,INDEX(LD_SP,C82),INDEX(LD_SP,C82)+D82*(INDEX(LD_SP,C82+1)-INDEX(LD_SP,C82))),NA()))</f>
        <v>-15.9</v>
      </c>
      <c r="F82" s="0">
        <f>IF(C82=0,NA(),IF(AND(IF(ISNUMBER(INDEX(LD_GR,C82)),INDEX(LD_GR,C82)&lt;&gt;LD_Null,FALSE),OR(D82=0,IF(ISNUMBER(INDEX(LD_GR,C82+1)),INDEX(LD_GR,C82+1)&lt;&gt;LD_Null,FALSE))),IF(D82=0,INDEX(LD_GR,C82),INDEX(LD_GR,C82)+D82*(INDEX(LD_GR,C82+1)-INDEX(LD_GR,C82))),NA()))</f>
        <v>116.2</v>
      </c>
      <c r="G82" s="0">
        <f>IF(C82=0,NA(),IF(AND(IF(ISNUMBER(INDEX(LD_RS,C82)),AND(INDEX(LD_RS,C82)&lt;&gt;LD_Null,INDEX(LD_RS,C82)&gt;0),FALSE),OR(D82=0,IF(ISNUMBER(INDEX(LD_RS,C82+1)),AND(INDEX(LD_RS,C82+1)&lt;&gt;LD_Null,INDEX(LD_RS,C82+1)&gt;0),FALSE))),IF(D82=0,INDEX(LD_RS,C82),INDEX(LD_RS,C82)+D82*(INDEX(LD_RS,C82+1)-INDEX(LD_RS,C82))),NA()))</f>
        <v>2.06</v>
      </c>
      <c r="H82" s="0">
        <f>IF(C82=0,NA(),IF(AND(IF(ISNUMBER(INDEX(LD_RM,C82)),AND(INDEX(LD_RM,C82)&lt;&gt;LD_Null,INDEX(LD_RM,C82)&gt;0),FALSE),OR(D82=0,IF(ISNUMBER(INDEX(LD_RM,C82+1)),AND(INDEX(LD_RM,C82+1)&lt;&gt;LD_Null,INDEX(LD_RM,C82+1)&gt;0),FALSE))),IF(D82=0,INDEX(LD_RM,C82),INDEX(LD_RM,C82)+D82*(INDEX(LD_RM,C82+1)-INDEX(LD_RM,C82))),NA()))</f>
        <v>2.29</v>
      </c>
      <c r="I82" s="0">
        <f>IF(C82=0,NA(),IF(AND(IF(ISNUMBER(INDEX(LD_RD,C82)),AND(INDEX(LD_RD,C82)&lt;&gt;LD_Null,INDEX(LD_RD,C82)&gt;0),FALSE),OR(D82=0,IF(ISNUMBER(INDEX(LD_RD,C82+1)),AND(INDEX(LD_RD,C82+1)&lt;&gt;LD_Null,INDEX(LD_RD,C82+1)&gt;0),FALSE))),IF(D82=0,INDEX(LD_RD,C82),INDEX(LD_RD,C82)+D82*(INDEX(LD_RD,C82+1)-INDEX(LD_RD,C82))),NA()))</f>
        <v>2.44</v>
      </c>
      <c r="J82" s="19">
        <f>IF(ISNUMBER(F82),MAX(0,MIN(1,(F82-LD_GRClean)/(LD_GRShale-LD_GRClean))),NA())</f>
        <v>1</v>
      </c>
      <c r="K82" s="19">
        <f>IF(ISNUMBER(E82),(MAX(LD_SPMin,MIN(E82,LD_SPBase))-LD_SPMin)/(LD_SPMax-LD_SPMin),NA())</f>
        <v>0.841</v>
      </c>
      <c r="L82" s="19">
        <f>IF(ISNUMBER(E82),(LD_SPBase-MAX(LD_SPMin,MIN(E82,LD_SPBase)))/(LD_SPMax-LD_SPMin),NA())</f>
        <v>0.009000000000000003</v>
      </c>
      <c r="M82" s="19">
        <f>IF(ISNUMBER(E82),(MIN(LD_SPMax,MAX(E82,LD_SPBase))-LD_SPBase)/(LD_SPMax-LD_SPMin),NA())</f>
        <v>0</v>
      </c>
      <c r="N82" s="19">
        <f>IF(ISNUMBER(F82),MAX(0,MIN(1,(F82-LD_GRMin)/(LD_GRMax-LD_GRMin))),NA())</f>
        <v>0.7746666666666667</v>
      </c>
      <c r="O82" s="0">
        <f>IF(ISNUMBER(F82),(F82&gt;=LD_GRB1)+(F82&gt;=LD_GRB2)+(F82&gt;=LD_GRB3)+(F82&gt;=LD_GRB4),NA())</f>
        <v>4</v>
      </c>
      <c r="P82" s="19">
        <f>IF(ISNUMBER(O82),IF(O82=0,N82,0),NA())</f>
        <v>0</v>
      </c>
      <c r="Q82" s="19">
        <f>IF(ISNUMBER(O82),IF(O82=1,N82,0),NA())</f>
        <v>0</v>
      </c>
      <c r="R82" s="19">
        <f>IF(ISNUMBER(O82),IF(O82=2,N82,0),NA())</f>
        <v>0</v>
      </c>
      <c r="S82" s="19">
        <f>IF(ISNUMBER(O82),IF(O82=3,N82,0),NA())</f>
        <v>0</v>
      </c>
      <c r="T82" s="19">
        <f>IF(ISNUMBER(O82),IF(O82=4,N82,0),NA())</f>
        <v>0.7746666666666667</v>
      </c>
      <c r="U82" s="19">
        <f>IF(ISNUMBER(G82),MAX(0,MIN(1,(LOG10(G82)-LD_RLog0)/LD_RSpan)),NA())</f>
        <v>0.25320930617629306</v>
      </c>
      <c r="V82" s="19">
        <f>IF(ISNUMBER(H82),MAX(0,MIN(1,(LOG10(H82)-LD_RLog0)/LD_RSpan)),NA())</f>
        <v>0.26470137166897667</v>
      </c>
      <c r="W82" s="19">
        <f>IF(ISNUMBER(I82),MAX(0,MIN(1,(LOG10(I82)-LD_RLog0)/LD_RSpan)),NA())</f>
        <v>0.27158995766868704</v>
      </c>
      <c r="Y82" s="19"/>
      <c r="Z82" s="19"/>
      <c r="AA82" s="19">
        <f>MAX(0,MIN(1,(LD_Dec0+4+LOG10(4)-LD_RLog0)/LD_RSpan))</f>
        <v>1</v>
      </c>
      <c r="AB82" s="19">
        <v>-1.5</v>
      </c>
    </row>
    <row r="83">
      <c r="A83" s="0">
        <v>69</v>
      </c>
      <c r="B83" s="18">
        <f>LD_Top+(A83+0.5)*LD_Step</f>
        <v>5069.5</v>
      </c>
      <c r="C83" s="0">
        <f>IF(OR(LD_N&lt;2,B83&lt;LD_First,B83&gt;LD_Last),0,MIN(MATCH(B83,LD_Depth,1),LD_N-1))</f>
        <v>140</v>
      </c>
      <c r="D83" s="19">
        <f>IF(C83=0,0,(B83-INDEX(LD_Depth,C83))/(INDEX(LD_Depth,C83+1)-INDEX(LD_Depth,C83)))</f>
        <v>0</v>
      </c>
      <c r="E83" s="0">
        <f>IF(C83=0,NA(),IF(AND(IF(ISNUMBER(INDEX(LD_SP,C83)),INDEX(LD_SP,C83)&lt;&gt;LD_Null,FALSE),OR(D83=0,IF(ISNUMBER(INDEX(LD_SP,C83+1)),INDEX(LD_SP,C83+1)&lt;&gt;LD_Null,FALSE))),IF(D83=0,INDEX(LD_SP,C83),INDEX(LD_SP,C83)+D83*(INDEX(LD_SP,C83+1)-INDEX(LD_SP,C83))),NA()))</f>
        <v>-16</v>
      </c>
      <c r="F83" s="0">
        <f>IF(C83=0,NA(),IF(AND(IF(ISNUMBER(INDEX(LD_GR,C83)),INDEX(LD_GR,C83)&lt;&gt;LD_Null,FALSE),OR(D83=0,IF(ISNUMBER(INDEX(LD_GR,C83+1)),INDEX(LD_GR,C83+1)&lt;&gt;LD_Null,FALSE))),IF(D83=0,INDEX(LD_GR,C83),INDEX(LD_GR,C83)+D83*(INDEX(LD_GR,C83+1)-INDEX(LD_GR,C83))),NA()))</f>
        <v>109.2</v>
      </c>
      <c r="G83" s="0">
        <f>IF(C83=0,NA(),IF(AND(IF(ISNUMBER(INDEX(LD_RS,C83)),AND(INDEX(LD_RS,C83)&lt;&gt;LD_Null,INDEX(LD_RS,C83)&gt;0),FALSE),OR(D83=0,IF(ISNUMBER(INDEX(LD_RS,C83+1)),AND(INDEX(LD_RS,C83+1)&lt;&gt;LD_Null,INDEX(LD_RS,C83+1)&gt;0),FALSE))),IF(D83=0,INDEX(LD_RS,C83),INDEX(LD_RS,C83)+D83*(INDEX(LD_RS,C83+1)-INDEX(LD_RS,C83))),NA()))</f>
        <v>2.31</v>
      </c>
      <c r="H83" s="0">
        <f>IF(C83=0,NA(),IF(AND(IF(ISNUMBER(INDEX(LD_RM,C83)),AND(INDEX(LD_RM,C83)&lt;&gt;LD_Null,INDEX(LD_RM,C83)&gt;0),FALSE),OR(D83=0,IF(ISNUMBER(INDEX(LD_RM,C83+1)),AND(INDEX(LD_RM,C83+1)&lt;&gt;LD_Null,INDEX(LD_RM,C83+1)&gt;0),FALSE))),IF(D83=0,INDEX(LD_RM,C83),INDEX(LD_RM,C83)+D83*(INDEX(LD_RM,C83+1)-INDEX(LD_RM,C83))),NA()))</f>
        <v>2.76</v>
      </c>
      <c r="I83" s="0">
        <f>IF(C83=0,NA(),IF(AND(IF(ISNUMBER(INDEX(LD_RD,C83)),AND(INDEX(LD_RD,C83)&lt;&gt;LD_Null,INDEX(LD_RD,C83)&gt;0),FALSE),OR(D83=0,IF(ISNUMBER(INDEX(LD_RD,C83+1)),AND(INDEX(LD_RD,C83+1)&lt;&gt;LD_Null,INDEX(LD_RD,C83+1)&gt;0),FALSE))),IF(D83=0,INDEX(LD_RD,C83),INDEX(LD_RD,C83)+D83*(INDEX(LD_RD,C83+1)-INDEX(LD_RD,C83))),NA()))</f>
        <v>3.32</v>
      </c>
      <c r="J83" s="19">
        <f>IF(ISNUMBER(F83),MAX(0,MIN(1,(F83-LD_GRClean)/(LD_GRShale-LD_GRClean))),NA())</f>
        <v>0.9317647058823529</v>
      </c>
      <c r="K83" s="19">
        <f>IF(ISNUMBER(E83),(MAX(LD_SPMin,MIN(E83,LD_SPBase))-LD_SPMin)/(LD_SPMax-LD_SPMin),NA())</f>
        <v>0.84</v>
      </c>
      <c r="L83" s="19">
        <f>IF(ISNUMBER(E83),(LD_SPBase-MAX(LD_SPMin,MIN(E83,LD_SPBase)))/(LD_SPMax-LD_SPMin),NA())</f>
        <v>0.01</v>
      </c>
      <c r="M83" s="19">
        <f>IF(ISNUMBER(E83),(MIN(LD_SPMax,MAX(E83,LD_SPBase))-LD_SPBase)/(LD_SPMax-LD_SPMin),NA())</f>
        <v>0</v>
      </c>
      <c r="N83" s="19">
        <f>IF(ISNUMBER(F83),MAX(0,MIN(1,(F83-LD_GRMin)/(LD_GRMax-LD_GRMin))),NA())</f>
        <v>0.728</v>
      </c>
      <c r="O83" s="0">
        <f>IF(ISNUMBER(F83),(F83&gt;=LD_GRB1)+(F83&gt;=LD_GRB2)+(F83&gt;=LD_GRB3)+(F83&gt;=LD_GRB4),NA())</f>
        <v>4</v>
      </c>
      <c r="P83" s="19">
        <f>IF(ISNUMBER(O83),IF(O83=0,N83,0),NA())</f>
        <v>0</v>
      </c>
      <c r="Q83" s="19">
        <f>IF(ISNUMBER(O83),IF(O83=1,N83,0),NA())</f>
        <v>0</v>
      </c>
      <c r="R83" s="19">
        <f>IF(ISNUMBER(O83),IF(O83=2,N83,0),NA())</f>
        <v>0</v>
      </c>
      <c r="S83" s="19">
        <f>IF(ISNUMBER(O83),IF(O83=3,N83,0),NA())</f>
        <v>0</v>
      </c>
      <c r="T83" s="19">
        <f>IF(ISNUMBER(O83),IF(O83=4,N83,0),NA())</f>
        <v>0.728</v>
      </c>
      <c r="U83" s="19">
        <f>IF(ISNUMBER(G83),MAX(0,MIN(1,(LOG10(G83)-LD_RLog0)/LD_RSpan)),NA())</f>
        <v>0.2656454960570408</v>
      </c>
      <c r="V83" s="19">
        <f>IF(ISNUMBER(H83),MAX(0,MIN(1,(LOG10(H83)-LD_RLog0)/LD_RSpan)),NA())</f>
        <v>0.2849697716003091</v>
      </c>
      <c r="W83" s="19">
        <f>IF(ISNUMBER(I83),MAX(0,MIN(1,(LOG10(I83)-LD_RLog0)/LD_RSpan)),NA())</f>
        <v>0.30502702201001375</v>
      </c>
      <c r="Y83" s="19"/>
      <c r="Z83" s="19"/>
      <c r="AA83" s="19">
        <f>MAX(0,MIN(1,(LD_Dec0+4+LOG10(4)-LD_RLog0)/LD_RSpan))</f>
        <v>1</v>
      </c>
      <c r="AB83" s="19">
        <v>120.5</v>
      </c>
    </row>
    <row r="84">
      <c r="A84" s="0">
        <v>70</v>
      </c>
      <c r="B84" s="18">
        <f>LD_Top+(A84+0.5)*LD_Step</f>
        <v>5070.5</v>
      </c>
      <c r="C84" s="0">
        <f>IF(OR(LD_N&lt;2,B84&lt;LD_First,B84&gt;LD_Last),0,MIN(MATCH(B84,LD_Depth,1),LD_N-1))</f>
        <v>142</v>
      </c>
      <c r="D84" s="19">
        <f>IF(C84=0,0,(B84-INDEX(LD_Depth,C84))/(INDEX(LD_Depth,C84+1)-INDEX(LD_Depth,C84)))</f>
        <v>0</v>
      </c>
      <c r="E84" s="0">
        <f>IF(C84=0,NA(),IF(AND(IF(ISNUMBER(INDEX(LD_SP,C84)),INDEX(LD_SP,C84)&lt;&gt;LD_Null,FALSE),OR(D84=0,IF(ISNUMBER(INDEX(LD_SP,C84+1)),INDEX(LD_SP,C84+1)&lt;&gt;LD_Null,FALSE))),IF(D84=0,INDEX(LD_SP,C84),INDEX(LD_SP,C84)+D84*(INDEX(LD_SP,C84+1)-INDEX(LD_SP,C84))),NA()))</f>
        <v>-16.7</v>
      </c>
      <c r="F84" s="0">
        <f>IF(C84=0,NA(),IF(AND(IF(ISNUMBER(INDEX(LD_GR,C84)),INDEX(LD_GR,C84)&lt;&gt;LD_Null,FALSE),OR(D84=0,IF(ISNUMBER(INDEX(LD_GR,C84+1)),INDEX(LD_GR,C84+1)&lt;&gt;LD_Null,FALSE))),IF(D84=0,INDEX(LD_GR,C84),INDEX(LD_GR,C84)+D84*(INDEX(LD_GR,C84+1)-INDEX(LD_GR,C84))),NA()))</f>
        <v>101</v>
      </c>
      <c r="G84" s="0">
        <f>IF(C84=0,NA(),IF(AND(IF(ISNUMBER(INDEX(LD_RS,C84)),AND(INDEX(LD_RS,C84)&lt;&gt;LD_Null,INDEX(LD_RS,C84)&gt;0),FALSE),OR(D84=0,IF(ISNUMBER(INDEX(LD_RS,C84+1)),AND(INDEX(LD_RS,C84+1)&lt;&gt;LD_Null,INDEX(LD_RS,C84+1)&gt;0),FALSE))),IF(D84=0,INDEX(LD_RS,C84),INDEX(LD_RS,C84)+D84*(INDEX(LD_RS,C84+1)-INDEX(LD_RS,C84))),NA()))</f>
        <v>3.93</v>
      </c>
      <c r="H84" s="0">
        <f>IF(C84=0,NA(),IF(AND(IF(ISNUMBER(INDEX(LD_RM,C84)),AND(INDEX(LD_RM,C84)&lt;&gt;LD_Null,INDEX(LD_RM,C84)&gt;0),FALSE),OR(D84=0,IF(ISNUMBER(INDEX(LD_RM,C84+1)),AND(INDEX(LD_RM,C84+1)&lt;&gt;LD_Null,INDEX(LD_RM,C84+1)&gt;0),FALSE))),IF(D84=0,INDEX(LD_RM,C84),INDEX(LD_RM,C84)+D84*(INDEX(LD_RM,C84+1)-INDEX(LD_RM,C84))),NA()))</f>
        <v>4.41</v>
      </c>
      <c r="I84" s="0">
        <f>IF(C84=0,NA(),IF(AND(IF(ISNUMBER(INDEX(LD_RD,C84)),AND(INDEX(LD_RD,C84)&lt;&gt;LD_Null,INDEX(LD_RD,C84)&gt;0),FALSE),OR(D84=0,IF(ISNUMBER(INDEX(LD_RD,C84+1)),AND(INDEX(LD_RD,C84+1)&lt;&gt;LD_Null,INDEX(LD_RD,C84+1)&gt;0),FALSE))),IF(D84=0,INDEX(LD_RD,C84),INDEX(LD_RD,C84)+D84*(INDEX(LD_RD,C84+1)-INDEX(LD_RD,C84))),NA()))</f>
        <v>4.6</v>
      </c>
      <c r="J84" s="19">
        <f>IF(ISNUMBER(F84),MAX(0,MIN(1,(F84-LD_GRClean)/(LD_GRShale-LD_GRClean))),NA())</f>
        <v>0.8352941176470589</v>
      </c>
      <c r="K84" s="19">
        <f>IF(ISNUMBER(E84),(MAX(LD_SPMin,MIN(E84,LD_SPBase))-LD_SPMin)/(LD_SPMax-LD_SPMin),NA())</f>
        <v>0.833</v>
      </c>
      <c r="L84" s="19">
        <f>IF(ISNUMBER(E84),(LD_SPBase-MAX(LD_SPMin,MIN(E84,LD_SPBase)))/(LD_SPMax-LD_SPMin),NA())</f>
        <v>0.016999999999999994</v>
      </c>
      <c r="M84" s="19">
        <f>IF(ISNUMBER(E84),(MIN(LD_SPMax,MAX(E84,LD_SPBase))-LD_SPBase)/(LD_SPMax-LD_SPMin),NA())</f>
        <v>0</v>
      </c>
      <c r="N84" s="19">
        <f>IF(ISNUMBER(F84),MAX(0,MIN(1,(F84-LD_GRMin)/(LD_GRMax-LD_GRMin))),NA())</f>
        <v>0.6733333333333333</v>
      </c>
      <c r="O84" s="0">
        <f>IF(ISNUMBER(F84),(F84&gt;=LD_GRB1)+(F84&gt;=LD_GRB2)+(F84&gt;=LD_GRB3)+(F84&gt;=LD_GRB4),NA())</f>
        <v>3</v>
      </c>
      <c r="P84" s="19">
        <f>IF(ISNUMBER(O84),IF(O84=0,N84,0),NA())</f>
        <v>0</v>
      </c>
      <c r="Q84" s="19">
        <f>IF(ISNUMBER(O84),IF(O84=1,N84,0),NA())</f>
        <v>0</v>
      </c>
      <c r="R84" s="19">
        <f>IF(ISNUMBER(O84),IF(O84=2,N84,0),NA())</f>
        <v>0</v>
      </c>
      <c r="S84" s="19">
        <f>IF(ISNUMBER(O84),IF(O84=3,N84,0),NA())</f>
        <v>0.6733333333333333</v>
      </c>
      <c r="T84" s="19">
        <f>IF(ISNUMBER(O84),IF(O84=4,N84,0),NA())</f>
        <v>0</v>
      </c>
      <c r="U84" s="19">
        <f>IF(ISNUMBER(G84),MAX(0,MIN(1,(LOG10(G84)-LD_RLog0)/LD_RSpan)),NA())</f>
        <v>0.32334063867786134</v>
      </c>
      <c r="V84" s="19">
        <f>IF(ISNUMBER(H84),MAX(0,MIN(1,(LOG10(H84)-LD_RLog0)/LD_RSpan)),NA())</f>
        <v>0.33585214845096434</v>
      </c>
      <c r="W84" s="19">
        <f>IF(ISNUMBER(I84),MAX(0,MIN(1,(LOG10(I84)-LD_RLog0)/LD_RSpan)),NA())</f>
        <v>0.3404319590043982</v>
      </c>
      <c r="Y84" s="19"/>
      <c r="Z84" s="19"/>
      <c r="AA84" s="19">
        <f>MAX(0,MIN(1,(LD_Dec0+4+LOG10(5)-LD_RLog0)/LD_RSpan))</f>
        <v>1</v>
      </c>
      <c r="AB84" s="19">
        <v>120.5</v>
      </c>
    </row>
    <row r="85">
      <c r="A85" s="0">
        <v>71</v>
      </c>
      <c r="B85" s="18">
        <f>LD_Top+(A85+0.5)*LD_Step</f>
        <v>5071.5</v>
      </c>
      <c r="C85" s="0">
        <f>IF(OR(LD_N&lt;2,B85&lt;LD_First,B85&gt;LD_Last),0,MIN(MATCH(B85,LD_Depth,1),LD_N-1))</f>
        <v>144</v>
      </c>
      <c r="D85" s="19">
        <f>IF(C85=0,0,(B85-INDEX(LD_Depth,C85))/(INDEX(LD_Depth,C85+1)-INDEX(LD_Depth,C85)))</f>
        <v>0</v>
      </c>
      <c r="E85" s="0">
        <f>IF(C85=0,NA(),IF(AND(IF(ISNUMBER(INDEX(LD_SP,C85)),INDEX(LD_SP,C85)&lt;&gt;LD_Null,FALSE),OR(D85=0,IF(ISNUMBER(INDEX(LD_SP,C85+1)),INDEX(LD_SP,C85+1)&lt;&gt;LD_Null,FALSE))),IF(D85=0,INDEX(LD_SP,C85),INDEX(LD_SP,C85)+D85*(INDEX(LD_SP,C85+1)-INDEX(LD_SP,C85))),NA()))</f>
        <v>-19.9</v>
      </c>
      <c r="F85" s="0">
        <f>IF(C85=0,NA(),IF(AND(IF(ISNUMBER(INDEX(LD_GR,C85)),INDEX(LD_GR,C85)&lt;&gt;LD_Null,FALSE),OR(D85=0,IF(ISNUMBER(INDEX(LD_GR,C85+1)),INDEX(LD_GR,C85+1)&lt;&gt;LD_Null,FALSE))),IF(D85=0,INDEX(LD_GR,C85),INDEX(LD_GR,C85)+D85*(INDEX(LD_GR,C85+1)-INDEX(LD_GR,C85))),NA()))</f>
        <v>85</v>
      </c>
      <c r="G85" s="0">
        <f>IF(C85=0,NA(),IF(AND(IF(ISNUMBER(INDEX(LD_RS,C85)),AND(INDEX(LD_RS,C85)&lt;&gt;LD_Null,INDEX(LD_RS,C85)&gt;0),FALSE),OR(D85=0,IF(ISNUMBER(INDEX(LD_RS,C85+1)),AND(INDEX(LD_RS,C85+1)&lt;&gt;LD_Null,INDEX(LD_RS,C85+1)&gt;0),FALSE))),IF(D85=0,INDEX(LD_RS,C85),INDEX(LD_RS,C85)+D85*(INDEX(LD_RS,C85+1)-INDEX(LD_RS,C85))),NA()))</f>
        <v>9.51</v>
      </c>
      <c r="H85" s="0">
        <f>IF(C85=0,NA(),IF(AND(IF(ISNUMBER(INDEX(LD_RM,C85)),AND(INDEX(LD_RM,C85)&lt;&gt;LD_Null,INDEX(LD_RM,C85)&gt;0),FALSE),OR(D85=0,IF(ISNUMBER(INDEX(LD_RM,C85+1)),AND(INDEX(LD_RM,C85+1)&lt;&gt;LD_Null,INDEX(LD_RM,C85+1)&gt;0),FALSE))),IF(D85=0,INDEX(LD_RM,C85),INDEX(LD_RM,C85)+D85*(INDEX(LD_RM,C85+1)-INDEX(LD_RM,C85))),NA()))</f>
        <v>12.2</v>
      </c>
      <c r="I85" s="0">
        <f>IF(C85=0,NA(),IF(AND(IF(ISNUMBER(INDEX(LD_RD,C85)),AND(INDEX(LD_RD,C85)&lt;&gt;LD_Null,INDEX(LD_RD,C85)&gt;0),FALSE),OR(D85=0,IF(ISNUMBER(INDEX(LD_RD,C85+1)),AND(INDEX(LD_RD,C85+1)&lt;&gt;LD_Null,INDEX(LD_RD,C85+1)&gt;0),FALSE))),IF(D85=0,INDEX(LD_RD,C85),INDEX(LD_RD,C85)+D85*(INDEX(LD_RD,C85+1)-INDEX(LD_RD,C85))),NA()))</f>
        <v>13.7</v>
      </c>
      <c r="J85" s="19">
        <f>IF(ISNUMBER(F85),MAX(0,MIN(1,(F85-LD_GRClean)/(LD_GRShale-LD_GRClean))),NA())</f>
        <v>0.6470588235294118</v>
      </c>
      <c r="K85" s="19">
        <f>IF(ISNUMBER(E85),(MAX(LD_SPMin,MIN(E85,LD_SPBase))-LD_SPMin)/(LD_SPMax-LD_SPMin),NA())</f>
        <v>0.8009999999999999</v>
      </c>
      <c r="L85" s="19">
        <f>IF(ISNUMBER(E85),(LD_SPBase-MAX(LD_SPMin,MIN(E85,LD_SPBase)))/(LD_SPMax-LD_SPMin),NA())</f>
        <v>0.04899999999999999</v>
      </c>
      <c r="M85" s="19">
        <f>IF(ISNUMBER(E85),(MIN(LD_SPMax,MAX(E85,LD_SPBase))-LD_SPBase)/(LD_SPMax-LD_SPMin),NA())</f>
        <v>0</v>
      </c>
      <c r="N85" s="19">
        <f>IF(ISNUMBER(F85),MAX(0,MIN(1,(F85-LD_GRMin)/(LD_GRMax-LD_GRMin))),NA())</f>
        <v>0.5666666666666667</v>
      </c>
      <c r="O85" s="0">
        <f>IF(ISNUMBER(F85),(F85&gt;=LD_GRB1)+(F85&gt;=LD_GRB2)+(F85&gt;=LD_GRB3)+(F85&gt;=LD_GRB4),NA())</f>
        <v>3</v>
      </c>
      <c r="P85" s="19">
        <f>IF(ISNUMBER(O85),IF(O85=0,N85,0),NA())</f>
        <v>0</v>
      </c>
      <c r="Q85" s="19">
        <f>IF(ISNUMBER(O85),IF(O85=1,N85,0),NA())</f>
        <v>0</v>
      </c>
      <c r="R85" s="19">
        <f>IF(ISNUMBER(O85),IF(O85=2,N85,0),NA())</f>
        <v>0</v>
      </c>
      <c r="S85" s="19">
        <f>IF(ISNUMBER(O85),IF(O85=3,N85,0),NA())</f>
        <v>0.5666666666666667</v>
      </c>
      <c r="T85" s="19">
        <f>IF(ISNUMBER(O85),IF(O85=4,N85,0),NA())</f>
        <v>0</v>
      </c>
      <c r="U85" s="19">
        <f>IF(ISNUMBER(G85),MAX(0,MIN(1,(LOG10(G85)-LD_RLog0)/LD_RSpan)),NA())</f>
        <v>0.41928763031835814</v>
      </c>
      <c r="V85" s="19">
        <f>IF(ISNUMBER(H85),MAX(0,MIN(1,(LOG10(H85)-LD_RLog0)/LD_RSpan)),NA())</f>
        <v>0.44633245875269173</v>
      </c>
      <c r="W85" s="19">
        <f>IF(ISNUMBER(I85),MAX(0,MIN(1,(LOG10(I85)-LD_RLog0)/LD_RSpan)),NA())</f>
        <v>0.45892264287310636</v>
      </c>
      <c r="Y85" s="19"/>
      <c r="Z85" s="19"/>
      <c r="AA85" s="19">
        <f>MAX(0,MIN(1,(LD_Dec0+4+LOG10(5)-LD_RLog0)/LD_RSpan))</f>
        <v>1</v>
      </c>
      <c r="AB85" s="19">
        <v>-1.5</v>
      </c>
    </row>
    <row r="86">
      <c r="A86" s="0">
        <v>72</v>
      </c>
      <c r="B86" s="18">
        <f>LD_Top+(A86+0.5)*LD_Step</f>
        <v>5072.5</v>
      </c>
      <c r="C86" s="0">
        <f>IF(OR(LD_N&lt;2,B86&lt;LD_First,B86&gt;LD_Last),0,MIN(MATCH(B86,LD_Depth,1),LD_N-1))</f>
        <v>146</v>
      </c>
      <c r="D86" s="19">
        <f>IF(C86=0,0,(B86-INDEX(LD_Depth,C86))/(INDEX(LD_Depth,C86+1)-INDEX(LD_Depth,C86)))</f>
        <v>0</v>
      </c>
      <c r="E86" s="0">
        <f>IF(C86=0,NA(),IF(AND(IF(ISNUMBER(INDEX(LD_SP,C86)),INDEX(LD_SP,C86)&lt;&gt;LD_Null,FALSE),OR(D86=0,IF(ISNUMBER(INDEX(LD_SP,C86+1)),INDEX(LD_SP,C86+1)&lt;&gt;LD_Null,FALSE))),IF(D86=0,INDEX(LD_SP,C86),INDEX(LD_SP,C86)+D86*(INDEX(LD_SP,C86+1)-INDEX(LD_SP,C86))),NA()))</f>
        <v>-25.1</v>
      </c>
      <c r="F86" s="0">
        <f>IF(C86=0,NA(),IF(AND(IF(ISNUMBER(INDEX(LD_GR,C86)),INDEX(LD_GR,C86)&lt;&gt;LD_Null,FALSE),OR(D86=0,IF(ISNUMBER(INDEX(LD_GR,C86+1)),INDEX(LD_GR,C86+1)&lt;&gt;LD_Null,FALSE))),IF(D86=0,INDEX(LD_GR,C86),INDEX(LD_GR,C86)+D86*(INDEX(LD_GR,C86+1)-INDEX(LD_GR,C86))),NA()))</f>
        <v>56</v>
      </c>
      <c r="G86" s="0">
        <f>IF(C86=0,NA(),IF(AND(IF(ISNUMBER(INDEX(LD_RS,C86)),AND(INDEX(LD_RS,C86)&lt;&gt;LD_Null,INDEX(LD_RS,C86)&gt;0),FALSE),OR(D86=0,IF(ISNUMBER(INDEX(LD_RS,C86+1)),AND(INDEX(LD_RS,C86+1)&lt;&gt;LD_Null,INDEX(LD_RS,C86+1)&gt;0),FALSE))),IF(D86=0,INDEX(LD_RS,C86),INDEX(LD_RS,C86)+D86*(INDEX(LD_RS,C86+1)-INDEX(LD_RS,C86))),NA()))</f>
        <v>34.5</v>
      </c>
      <c r="H86" s="0">
        <f>IF(C86=0,NA(),IF(AND(IF(ISNUMBER(INDEX(LD_RM,C86)),AND(INDEX(LD_RM,C86)&lt;&gt;LD_Null,INDEX(LD_RM,C86)&gt;0),FALSE),OR(D86=0,IF(ISNUMBER(INDEX(LD_RM,C86+1)),AND(INDEX(LD_RM,C86+1)&lt;&gt;LD_Null,INDEX(LD_RM,C86+1)&gt;0),FALSE))),IF(D86=0,INDEX(LD_RM,C86),INDEX(LD_RM,C86)+D86*(INDEX(LD_RM,C86+1)-INDEX(LD_RM,C86))),NA()))</f>
        <v>52.7</v>
      </c>
      <c r="I86" s="0">
        <f>IF(C86=0,NA(),IF(AND(IF(ISNUMBER(INDEX(LD_RD,C86)),AND(INDEX(LD_RD,C86)&lt;&gt;LD_Null,INDEX(LD_RD,C86)&gt;0),FALSE),OR(D86=0,IF(ISNUMBER(INDEX(LD_RD,C86+1)),AND(INDEX(LD_RD,C86+1)&lt;&gt;LD_Null,INDEX(LD_RD,C86+1)&gt;0),FALSE))),IF(D86=0,INDEX(LD_RD,C86),INDEX(LD_RD,C86)+D86*(INDEX(LD_RD,C86+1)-INDEX(LD_RD,C86))),NA()))</f>
        <v>69.3</v>
      </c>
      <c r="J86" s="19">
        <f>IF(ISNUMBER(F86),MAX(0,MIN(1,(F86-LD_GRClean)/(LD_GRShale-LD_GRClean))),NA())</f>
        <v>0.3058823529411765</v>
      </c>
      <c r="K86" s="19">
        <f>IF(ISNUMBER(E86),(MAX(LD_SPMin,MIN(E86,LD_SPBase))-LD_SPMin)/(LD_SPMax-LD_SPMin),NA())</f>
        <v>0.7490000000000001</v>
      </c>
      <c r="L86" s="19">
        <f>IF(ISNUMBER(E86),(LD_SPBase-MAX(LD_SPMin,MIN(E86,LD_SPBase)))/(LD_SPMax-LD_SPMin),NA())</f>
        <v>0.10100000000000002</v>
      </c>
      <c r="M86" s="19">
        <f>IF(ISNUMBER(E86),(MIN(LD_SPMax,MAX(E86,LD_SPBase))-LD_SPBase)/(LD_SPMax-LD_SPMin),NA())</f>
        <v>0</v>
      </c>
      <c r="N86" s="19">
        <f>IF(ISNUMBER(F86),MAX(0,MIN(1,(F86-LD_GRMin)/(LD_GRMax-LD_GRMin))),NA())</f>
        <v>0.37333333333333335</v>
      </c>
      <c r="O86" s="0">
        <f>IF(ISNUMBER(F86),(F86&gt;=LD_GRB1)+(F86&gt;=LD_GRB2)+(F86&gt;=LD_GRB3)+(F86&gt;=LD_GRB4),NA())</f>
        <v>1</v>
      </c>
      <c r="P86" s="19">
        <f>IF(ISNUMBER(O86),IF(O86=0,N86,0),NA())</f>
        <v>0</v>
      </c>
      <c r="Q86" s="19">
        <f>IF(ISNUMBER(O86),IF(O86=1,N86,0),NA())</f>
        <v>0.37333333333333335</v>
      </c>
      <c r="R86" s="19">
        <f>IF(ISNUMBER(O86),IF(O86=2,N86,0),NA())</f>
        <v>0</v>
      </c>
      <c r="S86" s="19">
        <f>IF(ISNUMBER(O86),IF(O86=3,N86,0),NA())</f>
        <v>0</v>
      </c>
      <c r="T86" s="19">
        <f>IF(ISNUMBER(O86),IF(O86=4,N86,0),NA())</f>
        <v>0</v>
      </c>
      <c r="U86" s="19">
        <f>IF(ISNUMBER(G86),MAX(0,MIN(1,(LOG10(G86)-LD_RLog0)/LD_RSpan)),NA())</f>
        <v>0.5591972748523233</v>
      </c>
      <c r="V86" s="19">
        <f>IF(ISNUMBER(H86),MAX(0,MIN(1,(LOG10(H86)-LD_RLog0)/LD_RSpan)),NA())</f>
        <v>0.6051951548871413</v>
      </c>
      <c r="W86" s="19">
        <f>IF(ISNUMBER(I86),MAX(0,MIN(1,(LOG10(I86)-LD_RLog0)/LD_RSpan)),NA())</f>
        <v>0.6349258097369563</v>
      </c>
      <c r="Y86" s="19"/>
      <c r="Z86" s="19"/>
      <c r="AA86" s="19">
        <f>MAX(0,MIN(1,(LD_Dec0+4+LOG10(6)-LD_RLog0)/LD_RSpan))</f>
        <v>1</v>
      </c>
      <c r="AB86" s="19">
        <v>-1.5</v>
      </c>
    </row>
    <row r="87">
      <c r="A87" s="0">
        <v>73</v>
      </c>
      <c r="B87" s="18">
        <f>LD_Top+(A87+0.5)*LD_Step</f>
        <v>5073.5</v>
      </c>
      <c r="C87" s="0">
        <f>IF(OR(LD_N&lt;2,B87&lt;LD_First,B87&gt;LD_Last),0,MIN(MATCH(B87,LD_Depth,1),LD_N-1))</f>
        <v>148</v>
      </c>
      <c r="D87" s="19">
        <f>IF(C87=0,0,(B87-INDEX(LD_Depth,C87))/(INDEX(LD_Depth,C87+1)-INDEX(LD_Depth,C87)))</f>
        <v>0</v>
      </c>
      <c r="E87" s="0">
        <f>IF(C87=0,NA(),IF(AND(IF(ISNUMBER(INDEX(LD_SP,C87)),INDEX(LD_SP,C87)&lt;&gt;LD_Null,FALSE),OR(D87=0,IF(ISNUMBER(INDEX(LD_SP,C87+1)),INDEX(LD_SP,C87+1)&lt;&gt;LD_Null,FALSE))),IF(D87=0,INDEX(LD_SP,C87),INDEX(LD_SP,C87)+D87*(INDEX(LD_SP,C87+1)-INDEX(LD_SP,C87))),NA()))</f>
        <v>-29.1</v>
      </c>
      <c r="F87" s="0">
        <f>IF(C87=0,NA(),IF(AND(IF(ISNUMBER(INDEX(LD_GR,C87)),INDEX(LD_GR,C87)&lt;&gt;LD_Null,FALSE),OR(D87=0,IF(ISNUMBER(INDEX(LD_GR,C87+1)),INDEX(LD_GR,C87+1)&lt;&gt;LD_Null,FALSE))),IF(D87=0,INDEX(LD_GR,C87),INDEX(LD_GR,C87)+D87*(INDEX(LD_GR,C87+1)-INDEX(LD_GR,C87))),NA()))</f>
        <v>30.2</v>
      </c>
      <c r="G87" s="0">
        <f>IF(C87=0,NA(),IF(AND(IF(ISNUMBER(INDEX(LD_RS,C87)),AND(INDEX(LD_RS,C87)&lt;&gt;LD_Null,INDEX(LD_RS,C87)&gt;0),FALSE),OR(D87=0,IF(ISNUMBER(INDEX(LD_RS,C87+1)),AND(INDEX(LD_RS,C87+1)&lt;&gt;LD_Null,INDEX(LD_RS,C87+1)&gt;0),FALSE))),IF(D87=0,INDEX(LD_RS,C87),INDEX(LD_RS,C87)+D87*(INDEX(LD_RS,C87+1)-INDEX(LD_RS,C87))),NA()))</f>
        <v>97.8</v>
      </c>
      <c r="H87" s="0">
        <f>IF(C87=0,NA(),IF(AND(IF(ISNUMBER(INDEX(LD_RM,C87)),AND(INDEX(LD_RM,C87)&lt;&gt;LD_Null,INDEX(LD_RM,C87)&gt;0),FALSE),OR(D87=0,IF(ISNUMBER(INDEX(LD_RM,C87+1)),AND(INDEX(LD_RM,C87+1)&lt;&gt;LD_Null,INDEX(LD_RM,C87+1)&gt;0),FALSE))),IF(D87=0,INDEX(LD_RM,C87),INDEX(LD_RM,C87)+D87*(INDEX(LD_RM,C87+1)-INDEX(LD_RM,C87))),NA()))</f>
        <v>159</v>
      </c>
      <c r="I87" s="0">
        <f>IF(C87=0,NA(),IF(AND(IF(ISNUMBER(INDEX(LD_RD,C87)),AND(INDEX(LD_RD,C87)&lt;&gt;LD_Null,INDEX(LD_RD,C87)&gt;0),FALSE),OR(D87=0,IF(ISNUMBER(INDEX(LD_RD,C87+1)),AND(INDEX(LD_RD,C87+1)&lt;&gt;LD_Null,INDEX(LD_RD,C87+1)&gt;0),FALSE))),IF(D87=0,INDEX(LD_RD,C87),INDEX(LD_RD,C87)+D87*(INDEX(LD_RD,C87+1)-INDEX(LD_RD,C87))),NA()))</f>
        <v>205</v>
      </c>
      <c r="J87" s="19">
        <f>IF(ISNUMBER(F87),MAX(0,MIN(1,(F87-LD_GRClean)/(LD_GRShale-LD_GRClean))),NA())</f>
        <v>0.00235294117647058</v>
      </c>
      <c r="K87" s="19">
        <f>IF(ISNUMBER(E87),(MAX(LD_SPMin,MIN(E87,LD_SPBase))-LD_SPMin)/(LD_SPMax-LD_SPMin),NA())</f>
        <v>0.7090000000000001</v>
      </c>
      <c r="L87" s="19">
        <f>IF(ISNUMBER(E87),(LD_SPBase-MAX(LD_SPMin,MIN(E87,LD_SPBase)))/(LD_SPMax-LD_SPMin),NA())</f>
        <v>0.14100000000000001</v>
      </c>
      <c r="M87" s="19">
        <f>IF(ISNUMBER(E87),(MIN(LD_SPMax,MAX(E87,LD_SPBase))-LD_SPBase)/(LD_SPMax-LD_SPMin),NA())</f>
        <v>0</v>
      </c>
      <c r="N87" s="19">
        <f>IF(ISNUMBER(F87),MAX(0,MIN(1,(F87-LD_GRMin)/(LD_GRMax-LD_GRMin))),NA())</f>
        <v>0.20133333333333334</v>
      </c>
      <c r="O87" s="0">
        <f>IF(ISNUMBER(F87),(F87&gt;=LD_GRB1)+(F87&gt;=LD_GRB2)+(F87&gt;=LD_GRB3)+(F87&gt;=LD_GRB4),NA())</f>
        <v>0</v>
      </c>
      <c r="P87" s="19">
        <f>IF(ISNUMBER(O87),IF(O87=0,N87,0),NA())</f>
        <v>0.20133333333333334</v>
      </c>
      <c r="Q87" s="19">
        <f>IF(ISNUMBER(O87),IF(O87=1,N87,0),NA())</f>
        <v>0</v>
      </c>
      <c r="R87" s="19">
        <f>IF(ISNUMBER(O87),IF(O87=2,N87,0),NA())</f>
        <v>0</v>
      </c>
      <c r="S87" s="19">
        <f>IF(ISNUMBER(O87),IF(O87=3,N87,0),NA())</f>
        <v>0</v>
      </c>
      <c r="T87" s="19">
        <f>IF(ISNUMBER(O87),IF(O87=4,N87,0),NA())</f>
        <v>0</v>
      </c>
      <c r="U87" s="19">
        <f>IF(ISNUMBER(G87),MAX(0,MIN(1,(LOG10(G87)-LD_RLog0)/LD_RSpan)),NA())</f>
        <v>0.6723272147809051</v>
      </c>
      <c r="V87" s="19">
        <f>IF(ISNUMBER(H87),MAX(0,MIN(1,(LOG10(H87)-LD_RLog0)/LD_RSpan)),NA())</f>
        <v>0.7250917821641175</v>
      </c>
      <c r="W87" s="19">
        <f>IF(ISNUMBER(I87),MAX(0,MIN(1,(LOG10(I87)-LD_RLog0)/LD_RSpan)),NA())</f>
        <v>0.7526809663479432</v>
      </c>
      <c r="Y87" s="19"/>
      <c r="Z87" s="19"/>
      <c r="AA87" s="19">
        <f>MAX(0,MIN(1,(LD_Dec0+4+LOG10(6)-LD_RLog0)/LD_RSpan))</f>
        <v>1</v>
      </c>
      <c r="AB87" s="19">
        <v>120.5</v>
      </c>
    </row>
    <row r="88">
      <c r="A88" s="0">
        <v>74</v>
      </c>
      <c r="B88" s="18">
        <f>LD_Top+(A88+0.5)*LD_Step</f>
        <v>5074.5</v>
      </c>
      <c r="C88" s="0">
        <f>IF(OR(LD_N&lt;2,B88&lt;LD_First,B88&gt;LD_Last),0,MIN(MATCH(B88,LD_Depth,1),LD_N-1))</f>
        <v>150</v>
      </c>
      <c r="D88" s="19">
        <f>IF(C88=0,0,(B88-INDEX(LD_Depth,C88))/(INDEX(LD_Depth,C88+1)-INDEX(LD_Depth,C88)))</f>
        <v>0</v>
      </c>
      <c r="E88" s="0">
        <f>IF(C88=0,NA(),IF(AND(IF(ISNUMBER(INDEX(LD_SP,C88)),INDEX(LD_SP,C88)&lt;&gt;LD_Null,FALSE),OR(D88=0,IF(ISNUMBER(INDEX(LD_SP,C88+1)),INDEX(LD_SP,C88+1)&lt;&gt;LD_Null,FALSE))),IF(D88=0,INDEX(LD_SP,C88),INDEX(LD_SP,C88)+D88*(INDEX(LD_SP,C88+1)-INDEX(LD_SP,C88))),NA()))</f>
        <v>-30.9</v>
      </c>
      <c r="F88" s="0">
        <f>IF(C88=0,NA(),IF(AND(IF(ISNUMBER(INDEX(LD_GR,C88)),INDEX(LD_GR,C88)&lt;&gt;LD_Null,FALSE),OR(D88=0,IF(ISNUMBER(INDEX(LD_GR,C88+1)),INDEX(LD_GR,C88+1)&lt;&gt;LD_Null,FALSE))),IF(D88=0,INDEX(LD_GR,C88),INDEX(LD_GR,C88)+D88*(INDEX(LD_GR,C88+1)-INDEX(LD_GR,C88))),NA()))</f>
        <v>28.2</v>
      </c>
      <c r="G88" s="0">
        <f>IF(C88=0,NA(),IF(AND(IF(ISNUMBER(INDEX(LD_RS,C88)),AND(INDEX(LD_RS,C88)&lt;&gt;LD_Null,INDEX(LD_RS,C88)&gt;0),FALSE),OR(D88=0,IF(ISNUMBER(INDEX(LD_RS,C88+1)),AND(INDEX(LD_RS,C88+1)&lt;&gt;LD_Null,INDEX(LD_RS,C88+1)&gt;0),FALSE))),IF(D88=0,INDEX(LD_RS,C88),INDEX(LD_RS,C88)+D88*(INDEX(LD_RS,C88+1)-INDEX(LD_RS,C88))),NA()))</f>
        <v>133</v>
      </c>
      <c r="H88" s="0">
        <f>IF(C88=0,NA(),IF(AND(IF(ISNUMBER(INDEX(LD_RM,C88)),AND(INDEX(LD_RM,C88)&lt;&gt;LD_Null,INDEX(LD_RM,C88)&gt;0),FALSE),OR(D88=0,IF(ISNUMBER(INDEX(LD_RM,C88+1)),AND(INDEX(LD_RM,C88+1)&lt;&gt;LD_Null,INDEX(LD_RM,C88+1)&gt;0),FALSE))),IF(D88=0,INDEX(LD_RM,C88),INDEX(LD_RM,C88)+D88*(INDEX(LD_RM,C88+1)-INDEX(LD_RM,C88))),NA()))</f>
        <v>222</v>
      </c>
      <c r="I88" s="0">
        <f>IF(C88=0,NA(),IF(AND(IF(ISNUMBER(INDEX(LD_RD,C88)),AND(INDEX(LD_RD,C88)&lt;&gt;LD_Null,INDEX(LD_RD,C88)&gt;0),FALSE),OR(D88=0,IF(ISNUMBER(INDEX(LD_RD,C88+1)),AND(INDEX(LD_RD,C88+1)&lt;&gt;LD_Null,INDEX(LD_RD,C88+1)&gt;0),FALSE))),IF(D88=0,INDEX(LD_RD,C88),INDEX(LD_RD,C88)+D88*(INDEX(LD_RD,C88+1)-INDEX(LD_RD,C88))),NA()))</f>
        <v>250</v>
      </c>
      <c r="J88" s="19">
        <f>IF(ISNUMBER(F88),MAX(0,MIN(1,(F88-LD_GRClean)/(LD_GRShale-LD_GRClean))),NA())</f>
        <v>0</v>
      </c>
      <c r="K88" s="19">
        <f>IF(ISNUMBER(E88),(MAX(LD_SPMin,MIN(E88,LD_SPBase))-LD_SPMin)/(LD_SPMax-LD_SPMin),NA())</f>
        <v>0.691</v>
      </c>
      <c r="L88" s="19">
        <f>IF(ISNUMBER(E88),(LD_SPBase-MAX(LD_SPMin,MIN(E88,LD_SPBase)))/(LD_SPMax-LD_SPMin),NA())</f>
        <v>0.15899999999999997</v>
      </c>
      <c r="M88" s="19">
        <f>IF(ISNUMBER(E88),(MIN(LD_SPMax,MAX(E88,LD_SPBase))-LD_SPBase)/(LD_SPMax-LD_SPMin),NA())</f>
        <v>0</v>
      </c>
      <c r="N88" s="19">
        <f>IF(ISNUMBER(F88),MAX(0,MIN(1,(F88-LD_GRMin)/(LD_GRMax-LD_GRMin))),NA())</f>
        <v>0.188</v>
      </c>
      <c r="O88" s="0">
        <f>IF(ISNUMBER(F88),(F88&gt;=LD_GRB1)+(F88&gt;=LD_GRB2)+(F88&gt;=LD_GRB3)+(F88&gt;=LD_GRB4),NA())</f>
        <v>0</v>
      </c>
      <c r="P88" s="19">
        <f>IF(ISNUMBER(O88),IF(O88=0,N88,0),NA())</f>
        <v>0.188</v>
      </c>
      <c r="Q88" s="19">
        <f>IF(ISNUMBER(O88),IF(O88=1,N88,0),NA())</f>
        <v>0</v>
      </c>
      <c r="R88" s="19">
        <f>IF(ISNUMBER(O88),IF(O88=2,N88,0),NA())</f>
        <v>0</v>
      </c>
      <c r="S88" s="19">
        <f>IF(ISNUMBER(O88),IF(O88=3,N88,0),NA())</f>
        <v>0</v>
      </c>
      <c r="T88" s="19">
        <f>IF(ISNUMBER(O88),IF(O88=4,N88,0),NA())</f>
        <v>0</v>
      </c>
      <c r="U88" s="19">
        <f>IF(ISNUMBER(G88),MAX(0,MIN(1,(LOG10(G88)-LD_RLog0)/LD_RSpan)),NA())</f>
        <v>0.7057054113257761</v>
      </c>
      <c r="V88" s="19">
        <f>IF(ISNUMBER(H88),MAX(0,MIN(1,(LOG10(H88)-LD_RLog0)/LD_RSpan)),NA())</f>
        <v>0.7613307446966644</v>
      </c>
      <c r="W88" s="19">
        <f>IF(ISNUMBER(I88),MAX(0,MIN(1,(LOG10(I88)-LD_RLog0)/LD_RSpan)),NA())</f>
        <v>0.7742275032520141</v>
      </c>
      <c r="Y88" s="19"/>
      <c r="Z88" s="19"/>
      <c r="AA88" s="19">
        <f>MAX(0,MIN(1,(LD_Dec0+4+LOG10(7)-LD_RLog0)/LD_RSpan))</f>
        <v>1</v>
      </c>
      <c r="AB88" s="19">
        <v>120.5</v>
      </c>
    </row>
    <row r="89">
      <c r="A89" s="0">
        <v>75</v>
      </c>
      <c r="B89" s="18">
        <f>LD_Top+(A89+0.5)*LD_Step</f>
        <v>5075.5</v>
      </c>
      <c r="C89" s="0">
        <f>IF(OR(LD_N&lt;2,B89&lt;LD_First,B89&gt;LD_Last),0,MIN(MATCH(B89,LD_Depth,1),LD_N-1))</f>
        <v>152</v>
      </c>
      <c r="D89" s="19">
        <f>IF(C89=0,0,(B89-INDEX(LD_Depth,C89))/(INDEX(LD_Depth,C89+1)-INDEX(LD_Depth,C89)))</f>
        <v>0</v>
      </c>
      <c r="E89" s="0">
        <f>IF(C89=0,NA(),IF(AND(IF(ISNUMBER(INDEX(LD_SP,C89)),INDEX(LD_SP,C89)&lt;&gt;LD_Null,FALSE),OR(D89=0,IF(ISNUMBER(INDEX(LD_SP,C89+1)),INDEX(LD_SP,C89+1)&lt;&gt;LD_Null,FALSE))),IF(D89=0,INDEX(LD_SP,C89),INDEX(LD_SP,C89)+D89*(INDEX(LD_SP,C89+1)-INDEX(LD_SP,C89))),NA()))</f>
        <v>-34.9</v>
      </c>
      <c r="F89" s="0">
        <f>IF(C89=0,NA(),IF(AND(IF(ISNUMBER(INDEX(LD_GR,C89)),INDEX(LD_GR,C89)&lt;&gt;LD_Null,FALSE),OR(D89=0,IF(ISNUMBER(INDEX(LD_GR,C89+1)),INDEX(LD_GR,C89+1)&lt;&gt;LD_Null,FALSE))),IF(D89=0,INDEX(LD_GR,C89),INDEX(LD_GR,C89)+D89*(INDEX(LD_GR,C89+1)-INDEX(LD_GR,C89))),NA()))</f>
        <v>27.3</v>
      </c>
      <c r="G89" s="0">
        <f>IF(C89=0,NA(),IF(AND(IF(ISNUMBER(INDEX(LD_RS,C89)),AND(INDEX(LD_RS,C89)&lt;&gt;LD_Null,INDEX(LD_RS,C89)&gt;0),FALSE),OR(D89=0,IF(ISNUMBER(INDEX(LD_RS,C89+1)),AND(INDEX(LD_RS,C89+1)&lt;&gt;LD_Null,INDEX(LD_RS,C89+1)&gt;0),FALSE))),IF(D89=0,INDEX(LD_RS,C89),INDEX(LD_RS,C89)+D89*(INDEX(LD_RS,C89+1)-INDEX(LD_RS,C89))),NA()))</f>
        <v>96.9</v>
      </c>
      <c r="H89" s="0">
        <f>IF(C89=0,NA(),IF(AND(IF(ISNUMBER(INDEX(LD_RM,C89)),AND(INDEX(LD_RM,C89)&lt;&gt;LD_Null,INDEX(LD_RM,C89)&gt;0),FALSE),OR(D89=0,IF(ISNUMBER(INDEX(LD_RM,C89+1)),AND(INDEX(LD_RM,C89+1)&lt;&gt;LD_Null,INDEX(LD_RM,C89+1)&gt;0),FALSE))),IF(D89=0,INDEX(LD_RM,C89),INDEX(LD_RM,C89)+D89*(INDEX(LD_RM,C89+1)-INDEX(LD_RM,C89))),NA()))</f>
        <v>132</v>
      </c>
      <c r="I89" s="0">
        <f>IF(C89=0,NA(),IF(AND(IF(ISNUMBER(INDEX(LD_RD,C89)),AND(INDEX(LD_RD,C89)&lt;&gt;LD_Null,INDEX(LD_RD,C89)&gt;0),FALSE),OR(D89=0,IF(ISNUMBER(INDEX(LD_RD,C89+1)),AND(INDEX(LD_RD,C89+1)&lt;&gt;LD_Null,INDEX(LD_RD,C89+1)&gt;0),FALSE))),IF(D89=0,INDEX(LD_RD,C89),INDEX(LD_RD,C89)+D89*(INDEX(LD_RD,C89+1)-INDEX(LD_RD,C89))),NA()))</f>
        <v>167</v>
      </c>
      <c r="J89" s="19">
        <f>IF(ISNUMBER(F89),MAX(0,MIN(1,(F89-LD_GRClean)/(LD_GRShale-LD_GRClean))),NA())</f>
        <v>0</v>
      </c>
      <c r="K89" s="19">
        <f>IF(ISNUMBER(E89),(MAX(LD_SPMin,MIN(E89,LD_SPBase))-LD_SPMin)/(LD_SPMax-LD_SPMin),NA())</f>
        <v>0.6509999999999999</v>
      </c>
      <c r="L89" s="19">
        <f>IF(ISNUMBER(E89),(LD_SPBase-MAX(LD_SPMin,MIN(E89,LD_SPBase)))/(LD_SPMax-LD_SPMin),NA())</f>
        <v>0.19899999999999998</v>
      </c>
      <c r="M89" s="19">
        <f>IF(ISNUMBER(E89),(MIN(LD_SPMax,MAX(E89,LD_SPBase))-LD_SPBase)/(LD_SPMax-LD_SPMin),NA())</f>
        <v>0</v>
      </c>
      <c r="N89" s="19">
        <f>IF(ISNUMBER(F89),MAX(0,MIN(1,(F89-LD_GRMin)/(LD_GRMax-LD_GRMin))),NA())</f>
        <v>0.182</v>
      </c>
      <c r="O89" s="0">
        <f>IF(ISNUMBER(F89),(F89&gt;=LD_GRB1)+(F89&gt;=LD_GRB2)+(F89&gt;=LD_GRB3)+(F89&gt;=LD_GRB4),NA())</f>
        <v>0</v>
      </c>
      <c r="P89" s="19">
        <f>IF(ISNUMBER(O89),IF(O89=0,N89,0),NA())</f>
        <v>0.182</v>
      </c>
      <c r="Q89" s="19">
        <f>IF(ISNUMBER(O89),IF(O89=1,N89,0),NA())</f>
        <v>0</v>
      </c>
      <c r="R89" s="19">
        <f>IF(ISNUMBER(O89),IF(O89=2,N89,0),NA())</f>
        <v>0</v>
      </c>
      <c r="S89" s="19">
        <f>IF(ISNUMBER(O89),IF(O89=3,N89,0),NA())</f>
        <v>0</v>
      </c>
      <c r="T89" s="19">
        <f>IF(ISNUMBER(O89),IF(O89=4,N89,0),NA())</f>
        <v>0</v>
      </c>
      <c r="U89" s="19">
        <f>IF(ISNUMBER(G89),MAX(0,MIN(1,(LOG10(G89)-LD_RLog0)/LD_RSpan)),NA())</f>
        <v>0.6713234453466961</v>
      </c>
      <c r="V89" s="19">
        <f>IF(ISNUMBER(H89),MAX(0,MIN(1,(LOG10(H89)-LD_RLog0)/LD_RSpan)),NA())</f>
        <v>0.7048859838854672</v>
      </c>
      <c r="W89" s="19">
        <f>IF(ISNUMBER(I89),MAX(0,MIN(1,(LOG10(I89)-LD_RLog0)/LD_RSpan)),NA())</f>
        <v>0.7304216188709005</v>
      </c>
      <c r="Y89" s="19"/>
      <c r="Z89" s="19"/>
      <c r="AA89" s="19">
        <f>MAX(0,MIN(1,(LD_Dec0+4+LOG10(7)-LD_RLog0)/LD_RSpan))</f>
        <v>1</v>
      </c>
      <c r="AB89" s="19">
        <v>-1.5</v>
      </c>
    </row>
    <row r="90">
      <c r="A90" s="0">
        <v>76</v>
      </c>
      <c r="B90" s="18">
        <f>LD_Top+(A90+0.5)*LD_Step</f>
        <v>5076.5</v>
      </c>
      <c r="C90" s="0">
        <f>IF(OR(LD_N&lt;2,B90&lt;LD_First,B90&gt;LD_Last),0,MIN(MATCH(B90,LD_Depth,1),LD_N-1))</f>
        <v>154</v>
      </c>
      <c r="D90" s="19">
        <f>IF(C90=0,0,(B90-INDEX(LD_Depth,C90))/(INDEX(LD_Depth,C90+1)-INDEX(LD_Depth,C90)))</f>
        <v>0</v>
      </c>
      <c r="E90" s="0">
        <f>IF(C90=0,NA(),IF(AND(IF(ISNUMBER(INDEX(LD_SP,C90)),INDEX(LD_SP,C90)&lt;&gt;LD_Null,FALSE),OR(D90=0,IF(ISNUMBER(INDEX(LD_SP,C90+1)),INDEX(LD_SP,C90+1)&lt;&gt;LD_Null,FALSE))),IF(D90=0,INDEX(LD_SP,C90),INDEX(LD_SP,C90)+D90*(INDEX(LD_SP,C90+1)-INDEX(LD_SP,C90))),NA()))</f>
        <v>-46.2</v>
      </c>
      <c r="F90" s="0">
        <f>IF(C90=0,NA(),IF(AND(IF(ISNUMBER(INDEX(LD_GR,C90)),INDEX(LD_GR,C90)&lt;&gt;LD_Null,FALSE),OR(D90=0,IF(ISNUMBER(INDEX(LD_GR,C90+1)),INDEX(LD_GR,C90+1)&lt;&gt;LD_Null,FALSE))),IF(D90=0,INDEX(LD_GR,C90),INDEX(LD_GR,C90)+D90*(INDEX(LD_GR,C90+1)-INDEX(LD_GR,C90))),NA()))</f>
        <v>25.3</v>
      </c>
      <c r="G90" s="0">
        <f>IF(C90=0,NA(),IF(AND(IF(ISNUMBER(INDEX(LD_RS,C90)),AND(INDEX(LD_RS,C90)&lt;&gt;LD_Null,INDEX(LD_RS,C90)&gt;0),FALSE),OR(D90=0,IF(ISNUMBER(INDEX(LD_RS,C90+1)),AND(INDEX(LD_RS,C90+1)&lt;&gt;LD_Null,INDEX(LD_RS,C90+1)&gt;0),FALSE))),IF(D90=0,INDEX(LD_RS,C90),INDEX(LD_RS,C90)+D90*(INDEX(LD_RS,C90+1)-INDEX(LD_RS,C90))),NA()))</f>
        <v>45.6</v>
      </c>
      <c r="H90" s="0">
        <f>IF(C90=0,NA(),IF(AND(IF(ISNUMBER(INDEX(LD_RM,C90)),AND(INDEX(LD_RM,C90)&lt;&gt;LD_Null,INDEX(LD_RM,C90)&gt;0),FALSE),OR(D90=0,IF(ISNUMBER(INDEX(LD_RM,C90+1)),AND(INDEX(LD_RM,C90+1)&lt;&gt;LD_Null,INDEX(LD_RM,C90+1)&gt;0),FALSE))),IF(D90=0,INDEX(LD_RM,C90),INDEX(LD_RM,C90)+D90*(INDEX(LD_RM,C90+1)-INDEX(LD_RM,C90))),NA()))</f>
        <v>47.4</v>
      </c>
      <c r="I90" s="0">
        <f>IF(C90=0,NA(),IF(AND(IF(ISNUMBER(INDEX(LD_RD,C90)),AND(INDEX(LD_RD,C90)&lt;&gt;LD_Null,INDEX(LD_RD,C90)&gt;0),FALSE),OR(D90=0,IF(ISNUMBER(INDEX(LD_RD,C90+1)),AND(INDEX(LD_RD,C90+1)&lt;&gt;LD_Null,INDEX(LD_RD,C90+1)&gt;0),FALSE))),IF(D90=0,INDEX(LD_RD,C90),INDEX(LD_RD,C90)+D90*(INDEX(LD_RD,C90+1)-INDEX(LD_RD,C90))),NA()))</f>
        <v>44.8</v>
      </c>
      <c r="J90" s="19">
        <f>IF(ISNUMBER(F90),MAX(0,MIN(1,(F90-LD_GRClean)/(LD_GRShale-LD_GRClean))),NA())</f>
        <v>0</v>
      </c>
      <c r="K90" s="19">
        <f>IF(ISNUMBER(E90),(MAX(LD_SPMin,MIN(E90,LD_SPBase))-LD_SPMin)/(LD_SPMax-LD_SPMin),NA())</f>
        <v>0.5379999999999999</v>
      </c>
      <c r="L90" s="19">
        <f>IF(ISNUMBER(E90),(LD_SPBase-MAX(LD_SPMin,MIN(E90,LD_SPBase)))/(LD_SPMax-LD_SPMin),NA())</f>
        <v>0.31200000000000006</v>
      </c>
      <c r="M90" s="19">
        <f>IF(ISNUMBER(E90),(MIN(LD_SPMax,MAX(E90,LD_SPBase))-LD_SPBase)/(LD_SPMax-LD_SPMin),NA())</f>
        <v>0</v>
      </c>
      <c r="N90" s="19">
        <f>IF(ISNUMBER(F90),MAX(0,MIN(1,(F90-LD_GRMin)/(LD_GRMax-LD_GRMin))),NA())</f>
        <v>0.16866666666666666</v>
      </c>
      <c r="O90" s="0">
        <f>IF(ISNUMBER(F90),(F90&gt;=LD_GRB1)+(F90&gt;=LD_GRB2)+(F90&gt;=LD_GRB3)+(F90&gt;=LD_GRB4),NA())</f>
        <v>0</v>
      </c>
      <c r="P90" s="19">
        <f>IF(ISNUMBER(O90),IF(O90=0,N90,0),NA())</f>
        <v>0.16866666666666666</v>
      </c>
      <c r="Q90" s="19">
        <f>IF(ISNUMBER(O90),IF(O90=1,N90,0),NA())</f>
        <v>0</v>
      </c>
      <c r="R90" s="19">
        <f>IF(ISNUMBER(O90),IF(O90=2,N90,0),NA())</f>
        <v>0</v>
      </c>
      <c r="S90" s="19">
        <f>IF(ISNUMBER(O90),IF(O90=3,N90,0),NA())</f>
        <v>0</v>
      </c>
      <c r="T90" s="19">
        <f>IF(ISNUMBER(O90),IF(O90=4,N90,0),NA())</f>
        <v>0</v>
      </c>
      <c r="U90" s="19">
        <f>IF(ISNUMBER(G90),MAX(0,MIN(1,(LOG10(G90)-LD_RLog0)/LD_RSpan)),NA())</f>
        <v>0.5894837117501135</v>
      </c>
      <c r="V90" s="19">
        <f>IF(ISNUMBER(H90),MAX(0,MIN(1,(LOG10(H90)-LD_RLog0)/LD_RSpan)),NA())</f>
        <v>0.5936870865025259</v>
      </c>
      <c r="W90" s="19">
        <f>IF(ISNUMBER(I90),MAX(0,MIN(1,(LOG10(I90)-LD_RLog0)/LD_RSpan)),NA())</f>
        <v>0.5875620045835407</v>
      </c>
      <c r="Y90" s="19"/>
      <c r="Z90" s="19"/>
      <c r="AA90" s="19">
        <f>MAX(0,MIN(1,(LD_Dec0+4+LOG10(8)-LD_RLog0)/LD_RSpan))</f>
        <v>1</v>
      </c>
      <c r="AB90" s="19">
        <v>-1.5</v>
      </c>
    </row>
    <row r="91">
      <c r="A91" s="0">
        <v>77</v>
      </c>
      <c r="B91" s="18">
        <f>LD_Top+(A91+0.5)*LD_Step</f>
        <v>5077.5</v>
      </c>
      <c r="C91" s="0">
        <f>IF(OR(LD_N&lt;2,B91&lt;LD_First,B91&gt;LD_Last),0,MIN(MATCH(B91,LD_Depth,1),LD_N-1))</f>
        <v>156</v>
      </c>
      <c r="D91" s="19">
        <f>IF(C91=0,0,(B91-INDEX(LD_Depth,C91))/(INDEX(LD_Depth,C91+1)-INDEX(LD_Depth,C91)))</f>
        <v>0</v>
      </c>
      <c r="E91" s="0">
        <f>IF(C91=0,NA(),IF(AND(IF(ISNUMBER(INDEX(LD_SP,C91)),INDEX(LD_SP,C91)&lt;&gt;LD_Null,FALSE),OR(D91=0,IF(ISNUMBER(INDEX(LD_SP,C91+1)),INDEX(LD_SP,C91+1)&lt;&gt;LD_Null,FALSE))),IF(D91=0,INDEX(LD_SP,C91),INDEX(LD_SP,C91)+D91*(INDEX(LD_SP,C91+1)-INDEX(LD_SP,C91))),NA()))</f>
        <v>-59.2</v>
      </c>
      <c r="F91" s="0">
        <f>IF(C91=0,NA(),IF(AND(IF(ISNUMBER(INDEX(LD_GR,C91)),INDEX(LD_GR,C91)&lt;&gt;LD_Null,FALSE),OR(D91=0,IF(ISNUMBER(INDEX(LD_GR,C91+1)),INDEX(LD_GR,C91+1)&lt;&gt;LD_Null,FALSE))),IF(D91=0,INDEX(LD_GR,C91),INDEX(LD_GR,C91)+D91*(INDEX(LD_GR,C91+1)-INDEX(LD_GR,C91))),NA()))</f>
        <v>30</v>
      </c>
      <c r="G91" s="0">
        <f>IF(C91=0,NA(),IF(AND(IF(ISNUMBER(INDEX(LD_RS,C91)),AND(INDEX(LD_RS,C91)&lt;&gt;LD_Null,INDEX(LD_RS,C91)&gt;0),FALSE),OR(D91=0,IF(ISNUMBER(INDEX(LD_RS,C91+1)),AND(INDEX(LD_RS,C91+1)&lt;&gt;LD_Null,INDEX(LD_RS,C91+1)&gt;0),FALSE))),IF(D91=0,INDEX(LD_RS,C91),INDEX(LD_RS,C91)+D91*(INDEX(LD_RS,C91+1)-INDEX(LD_RS,C91))),NA()))</f>
        <v>15</v>
      </c>
      <c r="H91" s="0">
        <f>IF(C91=0,NA(),IF(AND(IF(ISNUMBER(INDEX(LD_RM,C91)),AND(INDEX(LD_RM,C91)&lt;&gt;LD_Null,INDEX(LD_RM,C91)&gt;0),FALSE),OR(D91=0,IF(ISNUMBER(INDEX(LD_RM,C91+1)),AND(INDEX(LD_RM,C91+1)&lt;&gt;LD_Null,INDEX(LD_RM,C91+1)&gt;0),FALSE))),IF(D91=0,INDEX(LD_RM,C91),INDEX(LD_RM,C91)+D91*(INDEX(LD_RM,C91+1)-INDEX(LD_RM,C91))),NA()))</f>
        <v>10</v>
      </c>
      <c r="I91" s="0">
        <f>IF(C91=0,NA(),IF(AND(IF(ISNUMBER(INDEX(LD_RD,C91)),AND(INDEX(LD_RD,C91)&lt;&gt;LD_Null,INDEX(LD_RD,C91)&gt;0),FALSE),OR(D91=0,IF(ISNUMBER(INDEX(LD_RD,C91+1)),AND(INDEX(LD_RD,C91+1)&lt;&gt;LD_Null,INDEX(LD_RD,C91+1)&gt;0),FALSE))),IF(D91=0,INDEX(LD_RD,C91),INDEX(LD_RD,C91)+D91*(INDEX(LD_RD,C91+1)-INDEX(LD_RD,C91))),NA()))</f>
        <v>7.31</v>
      </c>
      <c r="J91" s="19">
        <f>IF(ISNUMBER(F91),MAX(0,MIN(1,(F91-LD_GRClean)/(LD_GRShale-LD_GRClean))),NA())</f>
        <v>0</v>
      </c>
      <c r="K91" s="19">
        <f>IF(ISNUMBER(E91),(MAX(LD_SPMin,MIN(E91,LD_SPBase))-LD_SPMin)/(LD_SPMax-LD_SPMin),NA())</f>
        <v>0.408</v>
      </c>
      <c r="L91" s="19">
        <f>IF(ISNUMBER(E91),(LD_SPBase-MAX(LD_SPMin,MIN(E91,LD_SPBase)))/(LD_SPMax-LD_SPMin),NA())</f>
        <v>0.442</v>
      </c>
      <c r="M91" s="19">
        <f>IF(ISNUMBER(E91),(MIN(LD_SPMax,MAX(E91,LD_SPBase))-LD_SPBase)/(LD_SPMax-LD_SPMin),NA())</f>
        <v>0</v>
      </c>
      <c r="N91" s="19">
        <f>IF(ISNUMBER(F91),MAX(0,MIN(1,(F91-LD_GRMin)/(LD_GRMax-LD_GRMin))),NA())</f>
        <v>0.2</v>
      </c>
      <c r="O91" s="0">
        <f>IF(ISNUMBER(F91),(F91&gt;=LD_GRB1)+(F91&gt;=LD_GRB2)+(F91&gt;=LD_GRB3)+(F91&gt;=LD_GRB4),NA())</f>
        <v>0</v>
      </c>
      <c r="P91" s="19">
        <f>IF(ISNUMBER(O91),IF(O91=0,N91,0),NA())</f>
        <v>0.2</v>
      </c>
      <c r="Q91" s="19">
        <f>IF(ISNUMBER(O91),IF(O91=1,N91,0),NA())</f>
        <v>0</v>
      </c>
      <c r="R91" s="19">
        <f>IF(ISNUMBER(O91),IF(O91=2,N91,0),NA())</f>
        <v>0</v>
      </c>
      <c r="S91" s="19">
        <f>IF(ISNUMBER(O91),IF(O91=3,N91,0),NA())</f>
        <v>0</v>
      </c>
      <c r="T91" s="19">
        <f>IF(ISNUMBER(O91),IF(O91=4,N91,0),NA())</f>
        <v>0</v>
      </c>
      <c r="U91" s="19">
        <f>IF(ISNUMBER(G91),MAX(0,MIN(1,(LOG10(G91)-LD_RLog0)/LD_RSpan)),NA())</f>
        <v>0.468765315847925</v>
      </c>
      <c r="V91" s="19">
        <f>IF(ISNUMBER(H91),MAX(0,MIN(1,(LOG10(H91)-LD_RLog0)/LD_RSpan)),NA())</f>
        <v>0.4247425010840047</v>
      </c>
      <c r="W91" s="19">
        <f>IF(ISNUMBER(I91),MAX(0,MIN(1,(LOG10(I91)-LD_RLog0)/LD_RSpan)),NA())</f>
        <v>0.3907218453234698</v>
      </c>
      <c r="Y91" s="19"/>
      <c r="Z91" s="19"/>
      <c r="AA91" s="19">
        <f>MAX(0,MIN(1,(LD_Dec0+4+LOG10(8)-LD_RLog0)/LD_RSpan))</f>
        <v>1</v>
      </c>
      <c r="AB91" s="19">
        <v>120.5</v>
      </c>
    </row>
    <row r="92">
      <c r="A92" s="0">
        <v>78</v>
      </c>
      <c r="B92" s="18">
        <f>LD_Top+(A92+0.5)*LD_Step</f>
        <v>5078.5</v>
      </c>
      <c r="C92" s="0">
        <f>IF(OR(LD_N&lt;2,B92&lt;LD_First,B92&gt;LD_Last),0,MIN(MATCH(B92,LD_Depth,1),LD_N-1))</f>
        <v>158</v>
      </c>
      <c r="D92" s="19">
        <f>IF(C92=0,0,(B92-INDEX(LD_Depth,C92))/(INDEX(LD_Depth,C92+1)-INDEX(LD_Depth,C92)))</f>
        <v>0</v>
      </c>
      <c r="E92" s="0">
        <f>IF(C92=0,NA(),IF(AND(IF(ISNUMBER(INDEX(LD_SP,C92)),INDEX(LD_SP,C92)&lt;&gt;LD_Null,FALSE),OR(D92=0,IF(ISNUMBER(INDEX(LD_SP,C92+1)),INDEX(LD_SP,C92+1)&lt;&gt;LD_Null,FALSE))),IF(D92=0,INDEX(LD_SP,C92),INDEX(LD_SP,C92)+D92*(INDEX(LD_SP,C92+1)-INDEX(LD_SP,C92))),NA()))</f>
        <v>-66.8</v>
      </c>
      <c r="F92" s="0">
        <f>IF(C92=0,NA(),IF(AND(IF(ISNUMBER(INDEX(LD_GR,C92)),INDEX(LD_GR,C92)&lt;&gt;LD_Null,FALSE),OR(D92=0,IF(ISNUMBER(INDEX(LD_GR,C92+1)),INDEX(LD_GR,C92+1)&lt;&gt;LD_Null,FALSE))),IF(D92=0,INDEX(LD_GR,C92),INDEX(LD_GR,C92)+D92*(INDEX(LD_GR,C92+1)-INDEX(LD_GR,C92))),NA()))</f>
        <v>35.8</v>
      </c>
      <c r="G92" s="0">
        <f>IF(C92=0,NA(),IF(AND(IF(ISNUMBER(INDEX(LD_RS,C92)),AND(INDEX(LD_RS,C92)&lt;&gt;LD_Null,INDEX(LD_RS,C92)&gt;0),FALSE),OR(D92=0,IF(ISNUMBER(INDEX(LD_RS,C92+1)),AND(INDEX(LD_RS,C92+1)&lt;&gt;LD_Null,INDEX(LD_RS,C92+1)&gt;0),FALSE))),IF(D92=0,INDEX(LD_RS,C92),INDEX(LD_RS,C92)+D92*(INDEX(LD_RS,C92+1)-INDEX(LD_RS,C92))),NA()))</f>
        <v>6.38</v>
      </c>
      <c r="H92" s="0">
        <f>IF(C92=0,NA(),IF(AND(IF(ISNUMBER(INDEX(LD_RM,C92)),AND(INDEX(LD_RM,C92)&lt;&gt;LD_Null,INDEX(LD_RM,C92)&gt;0),FALSE),OR(D92=0,IF(ISNUMBER(INDEX(LD_RM,C92+1)),AND(INDEX(LD_RM,C92+1)&lt;&gt;LD_Null,INDEX(LD_RM,C92+1)&gt;0),FALSE))),IF(D92=0,INDEX(LD_RM,C92),INDEX(LD_RM,C92)+D92*(INDEX(LD_RM,C92+1)-INDEX(LD_RM,C92))),NA()))</f>
        <v>2.82</v>
      </c>
      <c r="I92" s="0">
        <f>IF(C92=0,NA(),IF(AND(IF(ISNUMBER(INDEX(LD_RD,C92)),AND(INDEX(LD_RD,C92)&lt;&gt;LD_Null,INDEX(LD_RD,C92)&gt;0),FALSE),OR(D92=0,IF(ISNUMBER(INDEX(LD_RD,C92+1)),AND(INDEX(LD_RD,C92+1)&lt;&gt;LD_Null,INDEX(LD_RD,C92+1)&gt;0),FALSE))),IF(D92=0,INDEX(LD_RD,C92),INDEX(LD_RD,C92)+D92*(INDEX(LD_RD,C92+1)-INDEX(LD_RD,C92))),NA()))</f>
        <v>1.65</v>
      </c>
      <c r="J92" s="19">
        <f>IF(ISNUMBER(F92),MAX(0,MIN(1,(F92-LD_GRClean)/(LD_GRShale-LD_GRClean))),NA())</f>
        <v>0.06823529411764702</v>
      </c>
      <c r="K92" s="19">
        <f>IF(ISNUMBER(E92),(MAX(LD_SPMin,MIN(E92,LD_SPBase))-LD_SPMin)/(LD_SPMax-LD_SPMin),NA())</f>
        <v>0.332</v>
      </c>
      <c r="L92" s="19">
        <f>IF(ISNUMBER(E92),(LD_SPBase-MAX(LD_SPMin,MIN(E92,LD_SPBase)))/(LD_SPMax-LD_SPMin),NA())</f>
        <v>0.518</v>
      </c>
      <c r="M92" s="19">
        <f>IF(ISNUMBER(E92),(MIN(LD_SPMax,MAX(E92,LD_SPBase))-LD_SPBase)/(LD_SPMax-LD_SPMin),NA())</f>
        <v>0</v>
      </c>
      <c r="N92" s="19">
        <f>IF(ISNUMBER(F92),MAX(0,MIN(1,(F92-LD_GRMin)/(LD_GRMax-LD_GRMin))),NA())</f>
        <v>0.23866666666666664</v>
      </c>
      <c r="O92" s="0">
        <f>IF(ISNUMBER(F92),(F92&gt;=LD_GRB1)+(F92&gt;=LD_GRB2)+(F92&gt;=LD_GRB3)+(F92&gt;=LD_GRB4),NA())</f>
        <v>0</v>
      </c>
      <c r="P92" s="19">
        <f>IF(ISNUMBER(O92),IF(O92=0,N92,0),NA())</f>
        <v>0.23866666666666664</v>
      </c>
      <c r="Q92" s="19">
        <f>IF(ISNUMBER(O92),IF(O92=1,N92,0),NA())</f>
        <v>0</v>
      </c>
      <c r="R92" s="19">
        <f>IF(ISNUMBER(O92),IF(O92=2,N92,0),NA())</f>
        <v>0</v>
      </c>
      <c r="S92" s="19">
        <f>IF(ISNUMBER(O92),IF(O92=3,N92,0),NA())</f>
        <v>0</v>
      </c>
      <c r="T92" s="19">
        <f>IF(ISNUMBER(O92),IF(O92=4,N92,0),NA())</f>
        <v>0</v>
      </c>
      <c r="U92" s="19">
        <f>IF(ISNUMBER(G92),MAX(0,MIN(1,(LOG10(G92)-LD_RLog0)/LD_RSpan)),NA())</f>
        <v>0.37594767076429525</v>
      </c>
      <c r="V92" s="19">
        <f>IF(ISNUMBER(H92),MAX(0,MIN(1,(LOG10(H92)-LD_RLog0)/LD_RSpan)),NA())</f>
        <v>0.2873047781638449</v>
      </c>
      <c r="W92" s="19">
        <f>IF(ISNUMBER(I92),MAX(0,MIN(1,(LOG10(I92)-LD_RLog0)/LD_RSpan)),NA())</f>
        <v>0.22911348713748125</v>
      </c>
      <c r="Y92" s="19"/>
      <c r="Z92" s="19"/>
      <c r="AA92" s="19">
        <f>MAX(0,MIN(1,(LD_Dec0+4+LOG10(9)-LD_RLog0)/LD_RSpan))</f>
        <v>1</v>
      </c>
      <c r="AB92" s="19">
        <v>120.5</v>
      </c>
    </row>
    <row r="93">
      <c r="A93" s="0">
        <v>79</v>
      </c>
      <c r="B93" s="18">
        <f>LD_Top+(A93+0.5)*LD_Step</f>
        <v>5079.5</v>
      </c>
      <c r="C93" s="0">
        <f>IF(OR(LD_N&lt;2,B93&lt;LD_First,B93&gt;LD_Last),0,MIN(MATCH(B93,LD_Depth,1),LD_N-1))</f>
        <v>160</v>
      </c>
      <c r="D93" s="19">
        <f>IF(C93=0,0,(B93-INDEX(LD_Depth,C93))/(INDEX(LD_Depth,C93+1)-INDEX(LD_Depth,C93)))</f>
        <v>0</v>
      </c>
      <c r="E93" s="0">
        <f>IF(C93=0,NA(),IF(AND(IF(ISNUMBER(INDEX(LD_SP,C93)),INDEX(LD_SP,C93)&lt;&gt;LD_Null,FALSE),OR(D93=0,IF(ISNUMBER(INDEX(LD_SP,C93+1)),INDEX(LD_SP,C93+1)&lt;&gt;LD_Null,FALSE))),IF(D93=0,INDEX(LD_SP,C93),INDEX(LD_SP,C93)+D93*(INDEX(LD_SP,C93+1)-INDEX(LD_SP,C93))),NA()))</f>
        <v>-72.5</v>
      </c>
      <c r="F93" s="0">
        <f>IF(C93=0,NA(),IF(AND(IF(ISNUMBER(INDEX(LD_GR,C93)),INDEX(LD_GR,C93)&lt;&gt;LD_Null,FALSE),OR(D93=0,IF(ISNUMBER(INDEX(LD_GR,C93+1)),INDEX(LD_GR,C93+1)&lt;&gt;LD_Null,FALSE))),IF(D93=0,INDEX(LD_GR,C93),INDEX(LD_GR,C93)+D93*(INDEX(LD_GR,C93+1)-INDEX(LD_GR,C93))),NA()))</f>
        <v>36</v>
      </c>
      <c r="G93" s="0">
        <f>IF(C93=0,NA(),IF(AND(IF(ISNUMBER(INDEX(LD_RS,C93)),AND(INDEX(LD_RS,C93)&lt;&gt;LD_Null,INDEX(LD_RS,C93)&gt;0),FALSE),OR(D93=0,IF(ISNUMBER(INDEX(LD_RS,C93+1)),AND(INDEX(LD_RS,C93+1)&lt;&gt;LD_Null,INDEX(LD_RS,C93+1)&gt;0),FALSE))),IF(D93=0,INDEX(LD_RS,C93),INDEX(LD_RS,C93)+D93*(INDEX(LD_RS,C93+1)-INDEX(LD_RS,C93))),NA()))</f>
        <v>4.42</v>
      </c>
      <c r="H93" s="0">
        <f>IF(C93=0,NA(),IF(AND(IF(ISNUMBER(INDEX(LD_RM,C93)),AND(INDEX(LD_RM,C93)&lt;&gt;LD_Null,INDEX(LD_RM,C93)&gt;0),FALSE),OR(D93=0,IF(ISNUMBER(INDEX(LD_RM,C93+1)),AND(INDEX(LD_RM,C93+1)&lt;&gt;LD_Null,INDEX(LD_RM,C93+1)&gt;0),FALSE))),IF(D93=0,INDEX(LD_RM,C93),INDEX(LD_RM,C93)+D93*(INDEX(LD_RM,C93+1)-INDEX(LD_RM,C93))),NA()))</f>
        <v>1.63</v>
      </c>
      <c r="I93" s="0">
        <f>IF(C93=0,NA(),IF(AND(IF(ISNUMBER(INDEX(LD_RD,C93)),AND(INDEX(LD_RD,C93)&lt;&gt;LD_Null,INDEX(LD_RD,C93)&gt;0),FALSE),OR(D93=0,IF(ISNUMBER(INDEX(LD_RD,C93+1)),AND(INDEX(LD_RD,C93+1)&lt;&gt;LD_Null,INDEX(LD_RD,C93+1)&gt;0),FALSE))),IF(D93=0,INDEX(LD_RD,C93),INDEX(LD_RD,C93)+D93*(INDEX(LD_RD,C93+1)-INDEX(LD_RD,C93))),NA()))</f>
        <v>0.928</v>
      </c>
      <c r="J93" s="19">
        <f>IF(ISNUMBER(F93),MAX(0,MIN(1,(F93-LD_GRClean)/(LD_GRShale-LD_GRClean))),NA())</f>
        <v>0.07058823529411765</v>
      </c>
      <c r="K93" s="19">
        <f>IF(ISNUMBER(E93),(MAX(LD_SPMin,MIN(E93,LD_SPBase))-LD_SPMin)/(LD_SPMax-LD_SPMin),NA())</f>
        <v>0.275</v>
      </c>
      <c r="L93" s="19">
        <f>IF(ISNUMBER(E93),(LD_SPBase-MAX(LD_SPMin,MIN(E93,LD_SPBase)))/(LD_SPMax-LD_SPMin),NA())</f>
        <v>0.575</v>
      </c>
      <c r="M93" s="19">
        <f>IF(ISNUMBER(E93),(MIN(LD_SPMax,MAX(E93,LD_SPBase))-LD_SPBase)/(LD_SPMax-LD_SPMin),NA())</f>
        <v>0</v>
      </c>
      <c r="N93" s="19">
        <f>IF(ISNUMBER(F93),MAX(0,MIN(1,(F93-LD_GRMin)/(LD_GRMax-LD_GRMin))),NA())</f>
        <v>0.24</v>
      </c>
      <c r="O93" s="0">
        <f>IF(ISNUMBER(F93),(F93&gt;=LD_GRB1)+(F93&gt;=LD_GRB2)+(F93&gt;=LD_GRB3)+(F93&gt;=LD_GRB4),NA())</f>
        <v>0</v>
      </c>
      <c r="P93" s="19">
        <f>IF(ISNUMBER(O93),IF(O93=0,N93,0),NA())</f>
        <v>0.24</v>
      </c>
      <c r="Q93" s="19">
        <f>IF(ISNUMBER(O93),IF(O93=1,N93,0),NA())</f>
        <v>0</v>
      </c>
      <c r="R93" s="19">
        <f>IF(ISNUMBER(O93),IF(O93=2,N93,0),NA())</f>
        <v>0</v>
      </c>
      <c r="S93" s="19">
        <f>IF(ISNUMBER(O93),IF(O93=3,N93,0),NA())</f>
        <v>0</v>
      </c>
      <c r="T93" s="19">
        <f>IF(ISNUMBER(O93),IF(O93=4,N93,0),NA())</f>
        <v>0</v>
      </c>
      <c r="U93" s="19">
        <f>IF(ISNUMBER(G93),MAX(0,MIN(1,(LOG10(G93)-LD_RLog0)/LD_RSpan)),NA())</f>
        <v>0.33609806842127765</v>
      </c>
      <c r="V93" s="19">
        <f>IF(ISNUMBER(H93),MAX(0,MIN(1,(LOG10(H93)-LD_RLog0)/LD_RSpan)),NA())</f>
        <v>0.22778940218499413</v>
      </c>
      <c r="W93" s="19">
        <f>IF(ISNUMBER(I93),MAX(0,MIN(1,(LOG10(I93)-LD_RLog0)/LD_RSpan)),NA())</f>
        <v>0.16662949513872022</v>
      </c>
      <c r="Y93" s="19"/>
      <c r="Z93" s="19"/>
      <c r="AA93" s="19">
        <f>MAX(0,MIN(1,(LD_Dec0+4+LOG10(9)-LD_RLog0)/LD_RSpan))</f>
        <v>1</v>
      </c>
      <c r="AB93" s="19">
        <v>-1.5</v>
      </c>
    </row>
    <row r="94">
      <c r="A94" s="0">
        <v>80</v>
      </c>
      <c r="B94" s="18">
        <f>LD_Top+(A94+0.5)*LD_Step</f>
        <v>5080.5</v>
      </c>
      <c r="C94" s="0">
        <f>IF(OR(LD_N&lt;2,B94&lt;LD_First,B94&gt;LD_Last),0,MIN(MATCH(B94,LD_Depth,1),LD_N-1))</f>
        <v>162</v>
      </c>
      <c r="D94" s="19">
        <f>IF(C94=0,0,(B94-INDEX(LD_Depth,C94))/(INDEX(LD_Depth,C94+1)-INDEX(LD_Depth,C94)))</f>
        <v>0</v>
      </c>
      <c r="E94" s="0">
        <f>IF(C94=0,NA(),IF(AND(IF(ISNUMBER(INDEX(LD_SP,C94)),INDEX(LD_SP,C94)&lt;&gt;LD_Null,FALSE),OR(D94=0,IF(ISNUMBER(INDEX(LD_SP,C94+1)),INDEX(LD_SP,C94+1)&lt;&gt;LD_Null,FALSE))),IF(D94=0,INDEX(LD_SP,C94),INDEX(LD_SP,C94)+D94*(INDEX(LD_SP,C94+1)-INDEX(LD_SP,C94))),NA()))</f>
        <v>-74.3</v>
      </c>
      <c r="F94" s="0">
        <f>IF(C94=0,NA(),IF(AND(IF(ISNUMBER(INDEX(LD_GR,C94)),INDEX(LD_GR,C94)&lt;&gt;LD_Null,FALSE),OR(D94=0,IF(ISNUMBER(INDEX(LD_GR,C94+1)),INDEX(LD_GR,C94+1)&lt;&gt;LD_Null,FALSE))),IF(D94=0,INDEX(LD_GR,C94),INDEX(LD_GR,C94)+D94*(INDEX(LD_GR,C94+1)-INDEX(LD_GR,C94))),NA()))</f>
        <v>35.2</v>
      </c>
      <c r="G94" s="0">
        <f>IF(C94=0,NA(),IF(AND(IF(ISNUMBER(INDEX(LD_RS,C94)),AND(INDEX(LD_RS,C94)&lt;&gt;LD_Null,INDEX(LD_RS,C94)&gt;0),FALSE),OR(D94=0,IF(ISNUMBER(INDEX(LD_RS,C94+1)),AND(INDEX(LD_RS,C94+1)&lt;&gt;LD_Null,INDEX(LD_RS,C94+1)&gt;0),FALSE))),IF(D94=0,INDEX(LD_RS,C94),INDEX(LD_RS,C94)+D94*(INDEX(LD_RS,C94+1)-INDEX(LD_RS,C94))),NA()))</f>
        <v>3.83</v>
      </c>
      <c r="H94" s="0">
        <f>IF(C94=0,NA(),IF(AND(IF(ISNUMBER(INDEX(LD_RM,C94)),AND(INDEX(LD_RM,C94)&lt;&gt;LD_Null,INDEX(LD_RM,C94)&gt;0),FALSE),OR(D94=0,IF(ISNUMBER(INDEX(LD_RM,C94+1)),AND(INDEX(LD_RM,C94+1)&lt;&gt;LD_Null,INDEX(LD_RM,C94+1)&gt;0),FALSE))),IF(D94=0,INDEX(LD_RM,C94),INDEX(LD_RM,C94)+D94*(INDEX(LD_RM,C94+1)-INDEX(LD_RM,C94))),NA()))</f>
        <v>1.6</v>
      </c>
      <c r="I94" s="0">
        <f>IF(C94=0,NA(),IF(AND(IF(ISNUMBER(INDEX(LD_RD,C94)),AND(INDEX(LD_RD,C94)&lt;&gt;LD_Null,INDEX(LD_RD,C94)&gt;0),FALSE),OR(D94=0,IF(ISNUMBER(INDEX(LD_RD,C94+1)),AND(INDEX(LD_RD,C94+1)&lt;&gt;LD_Null,INDEX(LD_RD,C94+1)&gt;0),FALSE))),IF(D94=0,INDEX(LD_RD,C94),INDEX(LD_RD,C94)+D94*(INDEX(LD_RD,C94+1)-INDEX(LD_RD,C94))),NA()))</f>
        <v>0.87</v>
      </c>
      <c r="J94" s="19">
        <f>IF(ISNUMBER(F94),MAX(0,MIN(1,(F94-LD_GRClean)/(LD_GRShale-LD_GRClean))),NA())</f>
        <v>0.061176470588235325</v>
      </c>
      <c r="K94" s="19">
        <f>IF(ISNUMBER(E94),(MAX(LD_SPMin,MIN(E94,LD_SPBase))-LD_SPMin)/(LD_SPMax-LD_SPMin),NA())</f>
        <v>0.257</v>
      </c>
      <c r="L94" s="19">
        <f>IF(ISNUMBER(E94),(LD_SPBase-MAX(LD_SPMin,MIN(E94,LD_SPBase)))/(LD_SPMax-LD_SPMin),NA())</f>
        <v>0.593</v>
      </c>
      <c r="M94" s="19">
        <f>IF(ISNUMBER(E94),(MIN(LD_SPMax,MAX(E94,LD_SPBase))-LD_SPBase)/(LD_SPMax-LD_SPMin),NA())</f>
        <v>0</v>
      </c>
      <c r="N94" s="19">
        <f>IF(ISNUMBER(F94),MAX(0,MIN(1,(F94-LD_GRMin)/(LD_GRMax-LD_GRMin))),NA())</f>
        <v>0.2346666666666667</v>
      </c>
      <c r="O94" s="0">
        <f>IF(ISNUMBER(F94),(F94&gt;=LD_GRB1)+(F94&gt;=LD_GRB2)+(F94&gt;=LD_GRB3)+(F94&gt;=LD_GRB4),NA())</f>
        <v>0</v>
      </c>
      <c r="P94" s="19">
        <f>IF(ISNUMBER(O94),IF(O94=0,N94,0),NA())</f>
        <v>0.2346666666666667</v>
      </c>
      <c r="Q94" s="19">
        <f>IF(ISNUMBER(O94),IF(O94=1,N94,0),NA())</f>
        <v>0</v>
      </c>
      <c r="R94" s="19">
        <f>IF(ISNUMBER(O94),IF(O94=2,N94,0),NA())</f>
        <v>0</v>
      </c>
      <c r="S94" s="19">
        <f>IF(ISNUMBER(O94),IF(O94=3,N94,0),NA())</f>
        <v>0</v>
      </c>
      <c r="T94" s="19">
        <f>IF(ISNUMBER(O94),IF(O94=4,N94,0),NA())</f>
        <v>0</v>
      </c>
      <c r="U94" s="19">
        <f>IF(ISNUMBER(G94),MAX(0,MIN(1,(LOG10(G94)-LD_RLog0)/LD_RSpan)),NA())</f>
        <v>0.3205421945761604</v>
      </c>
      <c r="V94" s="19">
        <f>IF(ISNUMBER(H94),MAX(0,MIN(1,(LOG10(H94)-LD_RLog0)/LD_RSpan)),NA())</f>
        <v>0.22577249674798588</v>
      </c>
      <c r="W94" s="19">
        <f>IF(ISNUMBER(I94),MAX(0,MIN(1,(LOG10(I94)-LD_RLog0)/LD_RSpan)),NA())</f>
        <v>0.15962231423865933</v>
      </c>
      <c r="Y94" s="19"/>
      <c r="Z94" s="19"/>
      <c r="AA94" s="19">
        <f>MAX(0,MIN(1,(LD_Dec0+5+LOG10(2)-LD_RLog0)/LD_RSpan))</f>
        <v>1</v>
      </c>
      <c r="AB94" s="19">
        <v>-1.5</v>
      </c>
    </row>
    <row r="95">
      <c r="A95" s="0">
        <v>81</v>
      </c>
      <c r="B95" s="18">
        <f>LD_Top+(A95+0.5)*LD_Step</f>
        <v>5081.5</v>
      </c>
      <c r="C95" s="0">
        <f>IF(OR(LD_N&lt;2,B95&lt;LD_First,B95&gt;LD_Last),0,MIN(MATCH(B95,LD_Depth,1),LD_N-1))</f>
        <v>164</v>
      </c>
      <c r="D95" s="19">
        <f>IF(C95=0,0,(B95-INDEX(LD_Depth,C95))/(INDEX(LD_Depth,C95+1)-INDEX(LD_Depth,C95)))</f>
        <v>0</v>
      </c>
      <c r="E95" s="0">
        <f>IF(C95=0,NA(),IF(AND(IF(ISNUMBER(INDEX(LD_SP,C95)),INDEX(LD_SP,C95)&lt;&gt;LD_Null,FALSE),OR(D95=0,IF(ISNUMBER(INDEX(LD_SP,C95+1)),INDEX(LD_SP,C95+1)&lt;&gt;LD_Null,FALSE))),IF(D95=0,INDEX(LD_SP,C95),INDEX(LD_SP,C95)+D95*(INDEX(LD_SP,C95+1)-INDEX(LD_SP,C95))),NA()))</f>
        <v>-73.4</v>
      </c>
      <c r="F95" s="0">
        <f>IF(C95=0,NA(),IF(AND(IF(ISNUMBER(INDEX(LD_GR,C95)),INDEX(LD_GR,C95)&lt;&gt;LD_Null,FALSE),OR(D95=0,IF(ISNUMBER(INDEX(LD_GR,C95+1)),INDEX(LD_GR,C95+1)&lt;&gt;LD_Null,FALSE))),IF(D95=0,INDEX(LD_GR,C95),INDEX(LD_GR,C95)+D95*(INDEX(LD_GR,C95+1)-INDEX(LD_GR,C95))),NA()))</f>
        <v>34.4</v>
      </c>
      <c r="G95" s="0">
        <f>IF(C95=0,NA(),IF(AND(IF(ISNUMBER(INDEX(LD_RS,C95)),AND(INDEX(LD_RS,C95)&lt;&gt;LD_Null,INDEX(LD_RS,C95)&gt;0),FALSE),OR(D95=0,IF(ISNUMBER(INDEX(LD_RS,C95+1)),AND(INDEX(LD_RS,C95+1)&lt;&gt;LD_Null,INDEX(LD_RS,C95+1)&gt;0),FALSE))),IF(D95=0,INDEX(LD_RS,C95),INDEX(LD_RS,C95)+D95*(INDEX(LD_RS,C95+1)-INDEX(LD_RS,C95))),NA()))</f>
        <v>4.05</v>
      </c>
      <c r="H95" s="0">
        <f>IF(C95=0,NA(),IF(AND(IF(ISNUMBER(INDEX(LD_RM,C95)),AND(INDEX(LD_RM,C95)&lt;&gt;LD_Null,INDEX(LD_RM,C95)&gt;0),FALSE),OR(D95=0,IF(ISNUMBER(INDEX(LD_RM,C95+1)),AND(INDEX(LD_RM,C95+1)&lt;&gt;LD_Null,INDEX(LD_RM,C95+1)&gt;0),FALSE))),IF(D95=0,INDEX(LD_RM,C95),INDEX(LD_RM,C95)+D95*(INDEX(LD_RM,C95+1)-INDEX(LD_RM,C95))),NA()))</f>
        <v>1.43</v>
      </c>
      <c r="I95" s="0">
        <f>IF(C95=0,NA(),IF(AND(IF(ISNUMBER(INDEX(LD_RD,C95)),AND(INDEX(LD_RD,C95)&lt;&gt;LD_Null,INDEX(LD_RD,C95)&gt;0),FALSE),OR(D95=0,IF(ISNUMBER(INDEX(LD_RD,C95+1)),AND(INDEX(LD_RD,C95+1)&lt;&gt;LD_Null,INDEX(LD_RD,C95+1)&gt;0),FALSE))),IF(D95=0,INDEX(LD_RD,C95),INDEX(LD_RD,C95)+D95*(INDEX(LD_RD,C95+1)-INDEX(LD_RD,C95))),NA()))</f>
        <v>0.795</v>
      </c>
      <c r="J95" s="19">
        <f>IF(ISNUMBER(F95),MAX(0,MIN(1,(F95-LD_GRClean)/(LD_GRShale-LD_GRClean))),NA())</f>
        <v>0.05176470588235292</v>
      </c>
      <c r="K95" s="19">
        <f>IF(ISNUMBER(E95),(MAX(LD_SPMin,MIN(E95,LD_SPBase))-LD_SPMin)/(LD_SPMax-LD_SPMin),NA())</f>
        <v>0.26599999999999996</v>
      </c>
      <c r="L95" s="19">
        <f>IF(ISNUMBER(E95),(LD_SPBase-MAX(LD_SPMin,MIN(E95,LD_SPBase)))/(LD_SPMax-LD_SPMin),NA())</f>
        <v>0.5840000000000001</v>
      </c>
      <c r="M95" s="19">
        <f>IF(ISNUMBER(E95),(MIN(LD_SPMax,MAX(E95,LD_SPBase))-LD_SPBase)/(LD_SPMax-LD_SPMin),NA())</f>
        <v>0</v>
      </c>
      <c r="N95" s="19">
        <f>IF(ISNUMBER(F95),MAX(0,MIN(1,(F95-LD_GRMin)/(LD_GRMax-LD_GRMin))),NA())</f>
        <v>0.22933333333333333</v>
      </c>
      <c r="O95" s="0">
        <f>IF(ISNUMBER(F95),(F95&gt;=LD_GRB1)+(F95&gt;=LD_GRB2)+(F95&gt;=LD_GRB3)+(F95&gt;=LD_GRB4),NA())</f>
        <v>0</v>
      </c>
      <c r="P95" s="19">
        <f>IF(ISNUMBER(O95),IF(O95=0,N95,0),NA())</f>
        <v>0.22933333333333333</v>
      </c>
      <c r="Q95" s="19">
        <f>IF(ISNUMBER(O95),IF(O95=1,N95,0),NA())</f>
        <v>0</v>
      </c>
      <c r="R95" s="19">
        <f>IF(ISNUMBER(O95),IF(O95=2,N95,0),NA())</f>
        <v>0</v>
      </c>
      <c r="S95" s="19">
        <f>IF(ISNUMBER(O95),IF(O95=3,N95,0),NA())</f>
        <v>0</v>
      </c>
      <c r="T95" s="19">
        <f>IF(ISNUMBER(O95),IF(O95=4,N95,0),NA())</f>
        <v>0</v>
      </c>
      <c r="U95" s="19">
        <f>IF(ISNUMBER(G95),MAX(0,MIN(1,(LOG10(G95)-LD_RLog0)/LD_RSpan)),NA())</f>
        <v>0.3266062568876718</v>
      </c>
      <c r="V95" s="19">
        <f>IF(ISNUMBER(H95),MAX(0,MIN(1,(LOG10(H95)-LD_RLog0)/LD_RSpan)),NA())</f>
        <v>0.21357651045027015</v>
      </c>
      <c r="W95" s="19">
        <f>IF(ISNUMBER(I95),MAX(0,MIN(1,(LOG10(I95)-LD_RLog0)/LD_RSpan)),NA())</f>
        <v>0.14983428324812226</v>
      </c>
      <c r="Y95" s="19"/>
      <c r="Z95" s="19"/>
      <c r="AA95" s="19">
        <f>MAX(0,MIN(1,(LD_Dec0+5+LOG10(2)-LD_RLog0)/LD_RSpan))</f>
        <v>1</v>
      </c>
      <c r="AB95" s="19">
        <v>120.5</v>
      </c>
    </row>
    <row r="96">
      <c r="A96" s="0">
        <v>82</v>
      </c>
      <c r="B96" s="18">
        <f>LD_Top+(A96+0.5)*LD_Step</f>
        <v>5082.5</v>
      </c>
      <c r="C96" s="0">
        <f>IF(OR(LD_N&lt;2,B96&lt;LD_First,B96&gt;LD_Last),0,MIN(MATCH(B96,LD_Depth,1),LD_N-1))</f>
        <v>166</v>
      </c>
      <c r="D96" s="19">
        <f>IF(C96=0,0,(B96-INDEX(LD_Depth,C96))/(INDEX(LD_Depth,C96+1)-INDEX(LD_Depth,C96)))</f>
        <v>0</v>
      </c>
      <c r="E96" s="0">
        <f>IF(C96=0,NA(),IF(AND(IF(ISNUMBER(INDEX(LD_SP,C96)),INDEX(LD_SP,C96)&lt;&gt;LD_Null,FALSE),OR(D96=0,IF(ISNUMBER(INDEX(LD_SP,C96+1)),INDEX(LD_SP,C96+1)&lt;&gt;LD_Null,FALSE))),IF(D96=0,INDEX(LD_SP,C96),INDEX(LD_SP,C96)+D96*(INDEX(LD_SP,C96+1)-INDEX(LD_SP,C96))),NA()))</f>
        <v>-73.4</v>
      </c>
      <c r="F96" s="0">
        <f>IF(C96=0,NA(),IF(AND(IF(ISNUMBER(INDEX(LD_GR,C96)),INDEX(LD_GR,C96)&lt;&gt;LD_Null,FALSE),OR(D96=0,IF(ISNUMBER(INDEX(LD_GR,C96+1)),INDEX(LD_GR,C96+1)&lt;&gt;LD_Null,FALSE))),IF(D96=0,INDEX(LD_GR,C96),INDEX(LD_GR,C96)+D96*(INDEX(LD_GR,C96+1)-INDEX(LD_GR,C96))),NA()))</f>
        <v>37.3</v>
      </c>
      <c r="G96" s="0">
        <f>IF(C96=0,NA(),IF(AND(IF(ISNUMBER(INDEX(LD_RS,C96)),AND(INDEX(LD_RS,C96)&lt;&gt;LD_Null,INDEX(LD_RS,C96)&gt;0),FALSE),OR(D96=0,IF(ISNUMBER(INDEX(LD_RS,C96+1)),AND(INDEX(LD_RS,C96+1)&lt;&gt;LD_Null,INDEX(LD_RS,C96+1)&gt;0),FALSE))),IF(D96=0,INDEX(LD_RS,C96),INDEX(LD_RS,C96)+D96*(INDEX(LD_RS,C96+1)-INDEX(LD_RS,C96))),NA()))</f>
        <v>3.89</v>
      </c>
      <c r="H96" s="0">
        <f>IF(C96=0,NA(),IF(AND(IF(ISNUMBER(INDEX(LD_RM,C96)),AND(INDEX(LD_RM,C96)&lt;&gt;LD_Null,INDEX(LD_RM,C96)&gt;0),FALSE),OR(D96=0,IF(ISNUMBER(INDEX(LD_RM,C96+1)),AND(INDEX(LD_RM,C96+1)&lt;&gt;LD_Null,INDEX(LD_RM,C96+1)&gt;0),FALSE))),IF(D96=0,INDEX(LD_RM,C96),INDEX(LD_RM,C96)+D96*(INDEX(LD_RM,C96+1)-INDEX(LD_RM,C96))),NA()))</f>
        <v>1.4</v>
      </c>
      <c r="I96" s="0">
        <f>IF(C96=0,NA(),IF(AND(IF(ISNUMBER(INDEX(LD_RD,C96)),AND(INDEX(LD_RD,C96)&lt;&gt;LD_Null,INDEX(LD_RD,C96)&gt;0),FALSE),OR(D96=0,IF(ISNUMBER(INDEX(LD_RD,C96+1)),AND(INDEX(LD_RD,C96+1)&lt;&gt;LD_Null,INDEX(LD_RD,C96+1)&gt;0),FALSE))),IF(D96=0,INDEX(LD_RD,C96),INDEX(LD_RD,C96)+D96*(INDEX(LD_RD,C96+1)-INDEX(LD_RD,C96))),NA()))</f>
        <v>0.681</v>
      </c>
      <c r="J96" s="19">
        <f>IF(ISNUMBER(F96),MAX(0,MIN(1,(F96-LD_GRClean)/(LD_GRShale-LD_GRClean))),NA())</f>
        <v>0.08588235294117644</v>
      </c>
      <c r="K96" s="19">
        <f>IF(ISNUMBER(E96),(MAX(LD_SPMin,MIN(E96,LD_SPBase))-LD_SPMin)/(LD_SPMax-LD_SPMin),NA())</f>
        <v>0.26599999999999996</v>
      </c>
      <c r="L96" s="19">
        <f>IF(ISNUMBER(E96),(LD_SPBase-MAX(LD_SPMin,MIN(E96,LD_SPBase)))/(LD_SPMax-LD_SPMin),NA())</f>
        <v>0.5840000000000001</v>
      </c>
      <c r="M96" s="19">
        <f>IF(ISNUMBER(E96),(MIN(LD_SPMax,MAX(E96,LD_SPBase))-LD_SPBase)/(LD_SPMax-LD_SPMin),NA())</f>
        <v>0</v>
      </c>
      <c r="N96" s="19">
        <f>IF(ISNUMBER(F96),MAX(0,MIN(1,(F96-LD_GRMin)/(LD_GRMax-LD_GRMin))),NA())</f>
        <v>0.24866666666666665</v>
      </c>
      <c r="O96" s="0">
        <f>IF(ISNUMBER(F96),(F96&gt;=LD_GRB1)+(F96&gt;=LD_GRB2)+(F96&gt;=LD_GRB3)+(F96&gt;=LD_GRB4),NA())</f>
        <v>0</v>
      </c>
      <c r="P96" s="19">
        <f>IF(ISNUMBER(O96),IF(O96=0,N96,0),NA())</f>
        <v>0.24866666666666665</v>
      </c>
      <c r="Q96" s="19">
        <f>IF(ISNUMBER(O96),IF(O96=1,N96,0),NA())</f>
        <v>0</v>
      </c>
      <c r="R96" s="19">
        <f>IF(ISNUMBER(O96),IF(O96=2,N96,0),NA())</f>
        <v>0</v>
      </c>
      <c r="S96" s="19">
        <f>IF(ISNUMBER(O96),IF(O96=3,N96,0),NA())</f>
        <v>0</v>
      </c>
      <c r="T96" s="19">
        <f>IF(ISNUMBER(O96),IF(O96=4,N96,0),NA())</f>
        <v>0</v>
      </c>
      <c r="U96" s="19">
        <f>IF(ISNUMBER(G96),MAX(0,MIN(1,(LOG10(G96)-LD_RLog0)/LD_RSpan)),NA())</f>
        <v>0.3222299014154316</v>
      </c>
      <c r="V96" s="19">
        <f>IF(ISNUMBER(H96),MAX(0,MIN(1,(LOG10(H96)-LD_RLog0)/LD_RSpan)),NA())</f>
        <v>0.21127451000356418</v>
      </c>
      <c r="W96" s="19">
        <f>IF(ISNUMBER(I96),MAX(0,MIN(1,(LOG10(I96)-LD_RLog0)/LD_RSpan)),NA())</f>
        <v>0.133029279062201</v>
      </c>
      <c r="Y96" s="19"/>
      <c r="Z96" s="19"/>
      <c r="AA96" s="19">
        <f>MAX(0,MIN(1,(LD_Dec0+5+LOG10(3)-LD_RLog0)/LD_RSpan))</f>
        <v>1</v>
      </c>
      <c r="AB96" s="19">
        <v>120.5</v>
      </c>
    </row>
    <row r="97">
      <c r="A97" s="0">
        <v>83</v>
      </c>
      <c r="B97" s="18">
        <f>LD_Top+(A97+0.5)*LD_Step</f>
        <v>5083.5</v>
      </c>
      <c r="C97" s="0">
        <f>IF(OR(LD_N&lt;2,B97&lt;LD_First,B97&gt;LD_Last),0,MIN(MATCH(B97,LD_Depth,1),LD_N-1))</f>
        <v>168</v>
      </c>
      <c r="D97" s="19">
        <f>IF(C97=0,0,(B97-INDEX(LD_Depth,C97))/(INDEX(LD_Depth,C97+1)-INDEX(LD_Depth,C97)))</f>
        <v>0</v>
      </c>
      <c r="E97" s="0">
        <f>IF(C97=0,NA(),IF(AND(IF(ISNUMBER(INDEX(LD_SP,C97)),INDEX(LD_SP,C97)&lt;&gt;LD_Null,FALSE),OR(D97=0,IF(ISNUMBER(INDEX(LD_SP,C97+1)),INDEX(LD_SP,C97+1)&lt;&gt;LD_Null,FALSE))),IF(D97=0,INDEX(LD_SP,C97),INDEX(LD_SP,C97)+D97*(INDEX(LD_SP,C97+1)-INDEX(LD_SP,C97))),NA()))</f>
        <v>-74.6</v>
      </c>
      <c r="F97" s="0">
        <f>IF(C97=0,NA(),IF(AND(IF(ISNUMBER(INDEX(LD_GR,C97)),INDEX(LD_GR,C97)&lt;&gt;LD_Null,FALSE),OR(D97=0,IF(ISNUMBER(INDEX(LD_GR,C97+1)),INDEX(LD_GR,C97+1)&lt;&gt;LD_Null,FALSE))),IF(D97=0,INDEX(LD_GR,C97),INDEX(LD_GR,C97)+D97*(INDEX(LD_GR,C97+1)-INDEX(LD_GR,C97))),NA()))</f>
        <v>38.3</v>
      </c>
      <c r="G97" s="0">
        <f>IF(C97=0,NA(),IF(AND(IF(ISNUMBER(INDEX(LD_RS,C97)),AND(INDEX(LD_RS,C97)&lt;&gt;LD_Null,INDEX(LD_RS,C97)&gt;0),FALSE),OR(D97=0,IF(ISNUMBER(INDEX(LD_RS,C97+1)),AND(INDEX(LD_RS,C97+1)&lt;&gt;LD_Null,INDEX(LD_RS,C97+1)&gt;0),FALSE))),IF(D97=0,INDEX(LD_RS,C97),INDEX(LD_RS,C97)+D97*(INDEX(LD_RS,C97+1)-INDEX(LD_RS,C97))),NA()))</f>
        <v>3.58</v>
      </c>
      <c r="H97" s="0">
        <f>IF(C97=0,NA(),IF(AND(IF(ISNUMBER(INDEX(LD_RM,C97)),AND(INDEX(LD_RM,C97)&lt;&gt;LD_Null,INDEX(LD_RM,C97)&gt;0),FALSE),OR(D97=0,IF(ISNUMBER(INDEX(LD_RM,C97+1)),AND(INDEX(LD_RM,C97+1)&lt;&gt;LD_Null,INDEX(LD_RM,C97+1)&gt;0),FALSE))),IF(D97=0,INDEX(LD_RM,C97),INDEX(LD_RM,C97)+D97*(INDEX(LD_RM,C97+1)-INDEX(LD_RM,C97))),NA()))</f>
        <v>1.34</v>
      </c>
      <c r="I97" s="0">
        <f>IF(C97=0,NA(),IF(AND(IF(ISNUMBER(INDEX(LD_RD,C97)),AND(INDEX(LD_RD,C97)&lt;&gt;LD_Null,INDEX(LD_RD,C97)&gt;0),FALSE),OR(D97=0,IF(ISNUMBER(INDEX(LD_RD,C97+1)),AND(INDEX(LD_RD,C97+1)&lt;&gt;LD_Null,INDEX(LD_RD,C97+1)&gt;0),FALSE))),IF(D97=0,INDEX(LD_RD,C97),INDEX(LD_RD,C97)+D97*(INDEX(LD_RD,C97+1)-INDEX(LD_RD,C97))),NA()))</f>
        <v>0.778</v>
      </c>
      <c r="J97" s="19">
        <f>IF(ISNUMBER(F97),MAX(0,MIN(1,(F97-LD_GRClean)/(LD_GRShale-LD_GRClean))),NA())</f>
        <v>0.09764705882352938</v>
      </c>
      <c r="K97" s="19">
        <f>IF(ISNUMBER(E97),(MAX(LD_SPMin,MIN(E97,LD_SPBase))-LD_SPMin)/(LD_SPMax-LD_SPMin),NA())</f>
        <v>0.25400000000000006</v>
      </c>
      <c r="L97" s="19">
        <f>IF(ISNUMBER(E97),(LD_SPBase-MAX(LD_SPMin,MIN(E97,LD_SPBase)))/(LD_SPMax-LD_SPMin),NA())</f>
        <v>0.596</v>
      </c>
      <c r="M97" s="19">
        <f>IF(ISNUMBER(E97),(MIN(LD_SPMax,MAX(E97,LD_SPBase))-LD_SPBase)/(LD_SPMax-LD_SPMin),NA())</f>
        <v>0</v>
      </c>
      <c r="N97" s="19">
        <f>IF(ISNUMBER(F97),MAX(0,MIN(1,(F97-LD_GRMin)/(LD_GRMax-LD_GRMin))),NA())</f>
        <v>0.2553333333333333</v>
      </c>
      <c r="O97" s="0">
        <f>IF(ISNUMBER(F97),(F97&gt;=LD_GRB1)+(F97&gt;=LD_GRB2)+(F97&gt;=LD_GRB3)+(F97&gt;=LD_GRB4),NA())</f>
        <v>0</v>
      </c>
      <c r="P97" s="19">
        <f>IF(ISNUMBER(O97),IF(O97=0,N97,0),NA())</f>
        <v>0.2553333333333333</v>
      </c>
      <c r="Q97" s="19">
        <f>IF(ISNUMBER(O97),IF(O97=1,N97,0),NA())</f>
        <v>0</v>
      </c>
      <c r="R97" s="19">
        <f>IF(ISNUMBER(O97),IF(O97=2,N97,0),NA())</f>
        <v>0</v>
      </c>
      <c r="S97" s="19">
        <f>IF(ISNUMBER(O97),IF(O97=3,N97,0),NA())</f>
        <v>0</v>
      </c>
      <c r="T97" s="19">
        <f>IF(ISNUMBER(O97),IF(O97=4,N97,0),NA())</f>
        <v>0</v>
      </c>
      <c r="U97" s="19">
        <f>IF(ISNUMBER(G97),MAX(0,MIN(1,(LOG10(G97)-LD_RLog0)/LD_RSpan)),NA())</f>
        <v>0.3132132577449733</v>
      </c>
      <c r="V97" s="19">
        <f>IF(ISNUMBER(H97),MAX(0,MIN(1,(LOG10(H97)-LD_RLog0)/LD_RSpan)),NA())</f>
        <v>0.2065187006752066</v>
      </c>
      <c r="W97" s="19">
        <f>IF(ISNUMBER(I97),MAX(0,MIN(1,(LOG10(I97)-LD_RLog0)/LD_RSpan)),NA())</f>
        <v>0.14748740033142693</v>
      </c>
      <c r="Y97" s="19"/>
      <c r="Z97" s="19"/>
      <c r="AA97" s="19">
        <f>MAX(0,MIN(1,(LD_Dec0+5+LOG10(3)-LD_RLog0)/LD_RSpan))</f>
        <v>1</v>
      </c>
      <c r="AB97" s="19">
        <v>-1.5</v>
      </c>
    </row>
    <row r="98">
      <c r="A98" s="0">
        <v>84</v>
      </c>
      <c r="B98" s="18">
        <f>LD_Top+(A98+0.5)*LD_Step</f>
        <v>5084.5</v>
      </c>
      <c r="C98" s="0">
        <f>IF(OR(LD_N&lt;2,B98&lt;LD_First,B98&gt;LD_Last),0,MIN(MATCH(B98,LD_Depth,1),LD_N-1))</f>
        <v>170</v>
      </c>
      <c r="D98" s="19">
        <f>IF(C98=0,0,(B98-INDEX(LD_Depth,C98))/(INDEX(LD_Depth,C98+1)-INDEX(LD_Depth,C98)))</f>
        <v>0</v>
      </c>
      <c r="E98" s="0">
        <f>IF(C98=0,NA(),IF(AND(IF(ISNUMBER(INDEX(LD_SP,C98)),INDEX(LD_SP,C98)&lt;&gt;LD_Null,FALSE),OR(D98=0,IF(ISNUMBER(INDEX(LD_SP,C98+1)),INDEX(LD_SP,C98+1)&lt;&gt;LD_Null,FALSE))),IF(D98=0,INDEX(LD_SP,C98),INDEX(LD_SP,C98)+D98*(INDEX(LD_SP,C98+1)-INDEX(LD_SP,C98))),NA()))</f>
        <v>-74</v>
      </c>
      <c r="F98" s="0">
        <f>IF(C98=0,NA(),IF(AND(IF(ISNUMBER(INDEX(LD_GR,C98)),INDEX(LD_GR,C98)&lt;&gt;LD_Null,FALSE),OR(D98=0,IF(ISNUMBER(INDEX(LD_GR,C98+1)),INDEX(LD_GR,C98+1)&lt;&gt;LD_Null,FALSE))),IF(D98=0,INDEX(LD_GR,C98),INDEX(LD_GR,C98)+D98*(INDEX(LD_GR,C98+1)-INDEX(LD_GR,C98))),NA()))</f>
        <v>32.5</v>
      </c>
      <c r="G98" s="0">
        <f>IF(C98=0,NA(),IF(AND(IF(ISNUMBER(INDEX(LD_RS,C98)),AND(INDEX(LD_RS,C98)&lt;&gt;LD_Null,INDEX(LD_RS,C98)&gt;0),FALSE),OR(D98=0,IF(ISNUMBER(INDEX(LD_RS,C98+1)),AND(INDEX(LD_RS,C98+1)&lt;&gt;LD_Null,INDEX(LD_RS,C98+1)&gt;0),FALSE))),IF(D98=0,INDEX(LD_RS,C98),INDEX(LD_RS,C98)+D98*(INDEX(LD_RS,C98+1)-INDEX(LD_RS,C98))),NA()))</f>
        <v>3.78</v>
      </c>
      <c r="H98" s="0">
        <f>IF(C98=0,NA(),IF(AND(IF(ISNUMBER(INDEX(LD_RM,C98)),AND(INDEX(LD_RM,C98)&lt;&gt;LD_Null,INDEX(LD_RM,C98)&gt;0),FALSE),OR(D98=0,IF(ISNUMBER(INDEX(LD_RM,C98+1)),AND(INDEX(LD_RM,C98+1)&lt;&gt;LD_Null,INDEX(LD_RM,C98+1)&gt;0),FALSE))),IF(D98=0,INDEX(LD_RM,C98),INDEX(LD_RM,C98)+D98*(INDEX(LD_RM,C98+1)-INDEX(LD_RM,C98))),NA()))</f>
        <v>1.44</v>
      </c>
      <c r="I98" s="0">
        <f>IF(C98=0,NA(),IF(AND(IF(ISNUMBER(INDEX(LD_RD,C98)),AND(INDEX(LD_RD,C98)&lt;&gt;LD_Null,INDEX(LD_RD,C98)&gt;0),FALSE),OR(D98=0,IF(ISNUMBER(INDEX(LD_RD,C98+1)),AND(INDEX(LD_RD,C98+1)&lt;&gt;LD_Null,INDEX(LD_RD,C98+1)&gt;0),FALSE))),IF(D98=0,INDEX(LD_RD,C98),INDEX(LD_RD,C98)+D98*(INDEX(LD_RD,C98+1)-INDEX(LD_RD,C98))),NA()))</f>
        <v>0.794</v>
      </c>
      <c r="J98" s="19">
        <f>IF(ISNUMBER(F98),MAX(0,MIN(1,(F98-LD_GRClean)/(LD_GRShale-LD_GRClean))),NA())</f>
        <v>0.029411764705882353</v>
      </c>
      <c r="K98" s="19">
        <f>IF(ISNUMBER(E98),(MAX(LD_SPMin,MIN(E98,LD_SPBase))-LD_SPMin)/(LD_SPMax-LD_SPMin),NA())</f>
        <v>0.26</v>
      </c>
      <c r="L98" s="19">
        <f>IF(ISNUMBER(E98),(LD_SPBase-MAX(LD_SPMin,MIN(E98,LD_SPBase)))/(LD_SPMax-LD_SPMin),NA())</f>
        <v>0.59</v>
      </c>
      <c r="M98" s="19">
        <f>IF(ISNUMBER(E98),(MIN(LD_SPMax,MAX(E98,LD_SPBase))-LD_SPBase)/(LD_SPMax-LD_SPMin),NA())</f>
        <v>0</v>
      </c>
      <c r="N98" s="19">
        <f>IF(ISNUMBER(F98),MAX(0,MIN(1,(F98-LD_GRMin)/(LD_GRMax-LD_GRMin))),NA())</f>
        <v>0.21666666666666667</v>
      </c>
      <c r="O98" s="0">
        <f>IF(ISNUMBER(F98),(F98&gt;=LD_GRB1)+(F98&gt;=LD_GRB2)+(F98&gt;=LD_GRB3)+(F98&gt;=LD_GRB4),NA())</f>
        <v>0</v>
      </c>
      <c r="P98" s="19">
        <f>IF(ISNUMBER(O98),IF(O98=0,N98,0),NA())</f>
        <v>0.21666666666666667</v>
      </c>
      <c r="Q98" s="19">
        <f>IF(ISNUMBER(O98),IF(O98=1,N98,0),NA())</f>
        <v>0</v>
      </c>
      <c r="R98" s="19">
        <f>IF(ISNUMBER(O98),IF(O98=2,N98,0),NA())</f>
        <v>0</v>
      </c>
      <c r="S98" s="19">
        <f>IF(ISNUMBER(O98),IF(O98=3,N98,0),NA())</f>
        <v>0</v>
      </c>
      <c r="T98" s="19">
        <f>IF(ISNUMBER(O98),IF(O98=4,N98,0),NA())</f>
        <v>0</v>
      </c>
      <c r="U98" s="19">
        <f>IF(ISNUMBER(G98),MAX(0,MIN(1,(LOG10(G98)-LD_RLog0)/LD_RSpan)),NA())</f>
        <v>0.319115451043311</v>
      </c>
      <c r="V98" s="19">
        <f>IF(ISNUMBER(H98),MAX(0,MIN(1,(LOG10(H98)-LD_RLog0)/LD_RSpan)),NA())</f>
        <v>0.2143331241078171</v>
      </c>
      <c r="W98" s="19">
        <f>IF(ISNUMBER(I98),MAX(0,MIN(1,(LOG10(I98)-LD_RLog0)/LD_RSpan)),NA())</f>
        <v>0.14969762669077877</v>
      </c>
      <c r="Y98" s="19"/>
      <c r="Z98" s="19"/>
      <c r="AA98" s="19">
        <f>MAX(0,MIN(1,(LD_Dec0+5+LOG10(4)-LD_RLog0)/LD_RSpan))</f>
        <v>1</v>
      </c>
      <c r="AB98" s="19">
        <v>-1.5</v>
      </c>
    </row>
    <row r="99">
      <c r="A99" s="0">
        <v>85</v>
      </c>
      <c r="B99" s="18">
        <f>LD_Top+(A99+0.5)*LD_Step</f>
        <v>5085.5</v>
      </c>
      <c r="C99" s="0">
        <f>IF(OR(LD_N&lt;2,B99&lt;LD_First,B99&gt;LD_Last),0,MIN(MATCH(B99,LD_Depth,1),LD_N-1))</f>
        <v>172</v>
      </c>
      <c r="D99" s="19">
        <f>IF(C99=0,0,(B99-INDEX(LD_Depth,C99))/(INDEX(LD_Depth,C99+1)-INDEX(LD_Depth,C99)))</f>
        <v>0</v>
      </c>
      <c r="E99" s="0">
        <f>IF(C99=0,NA(),IF(AND(IF(ISNUMBER(INDEX(LD_SP,C99)),INDEX(LD_SP,C99)&lt;&gt;LD_Null,FALSE),OR(D99=0,IF(ISNUMBER(INDEX(LD_SP,C99+1)),INDEX(LD_SP,C99+1)&lt;&gt;LD_Null,FALSE))),IF(D99=0,INDEX(LD_SP,C99),INDEX(LD_SP,C99)+D99*(INDEX(LD_SP,C99+1)-INDEX(LD_SP,C99))),NA()))</f>
        <v>-74</v>
      </c>
      <c r="F99" s="0">
        <f>IF(C99=0,NA(),IF(AND(IF(ISNUMBER(INDEX(LD_GR,C99)),INDEX(LD_GR,C99)&lt;&gt;LD_Null,FALSE),OR(D99=0,IF(ISNUMBER(INDEX(LD_GR,C99+1)),INDEX(LD_GR,C99+1)&lt;&gt;LD_Null,FALSE))),IF(D99=0,INDEX(LD_GR,C99),INDEX(LD_GR,C99)+D99*(INDEX(LD_GR,C99+1)-INDEX(LD_GR,C99))),NA()))</f>
        <v>35.8</v>
      </c>
      <c r="G99" s="0">
        <f>IF(C99=0,NA(),IF(AND(IF(ISNUMBER(INDEX(LD_RS,C99)),AND(INDEX(LD_RS,C99)&lt;&gt;LD_Null,INDEX(LD_RS,C99)&gt;0),FALSE),OR(D99=0,IF(ISNUMBER(INDEX(LD_RS,C99+1)),AND(INDEX(LD_RS,C99+1)&lt;&gt;LD_Null,INDEX(LD_RS,C99+1)&gt;0),FALSE))),IF(D99=0,INDEX(LD_RS,C99),INDEX(LD_RS,C99)+D99*(INDEX(LD_RS,C99+1)-INDEX(LD_RS,C99))),NA()))</f>
        <v>4.14</v>
      </c>
      <c r="H99" s="0">
        <f>IF(C99=0,NA(),IF(AND(IF(ISNUMBER(INDEX(LD_RM,C99)),AND(INDEX(LD_RM,C99)&lt;&gt;LD_Null,INDEX(LD_RM,C99)&gt;0),FALSE),OR(D99=0,IF(ISNUMBER(INDEX(LD_RM,C99+1)),AND(INDEX(LD_RM,C99+1)&lt;&gt;LD_Null,INDEX(LD_RM,C99+1)&gt;0),FALSE))),IF(D99=0,INDEX(LD_RM,C99),INDEX(LD_RM,C99)+D99*(INDEX(LD_RM,C99+1)-INDEX(LD_RM,C99))),NA()))</f>
        <v>1.46</v>
      </c>
      <c r="I99" s="0">
        <f>IF(C99=0,NA(),IF(AND(IF(ISNUMBER(INDEX(LD_RD,C99)),AND(INDEX(LD_RD,C99)&lt;&gt;LD_Null,INDEX(LD_RD,C99)&gt;0),FALSE),OR(D99=0,IF(ISNUMBER(INDEX(LD_RD,C99+1)),AND(INDEX(LD_RD,C99+1)&lt;&gt;LD_Null,INDEX(LD_RD,C99+1)&gt;0),FALSE))),IF(D99=0,INDEX(LD_RD,C99),INDEX(LD_RD,C99)+D99*(INDEX(LD_RD,C99+1)-INDEX(LD_RD,C99))),NA()))</f>
        <v>0.721</v>
      </c>
      <c r="J99" s="19">
        <f>IF(ISNUMBER(F99),MAX(0,MIN(1,(F99-LD_GRClean)/(LD_GRShale-LD_GRClean))),NA())</f>
        <v>0.06823529411764702</v>
      </c>
      <c r="K99" s="19">
        <f>IF(ISNUMBER(E99),(MAX(LD_SPMin,MIN(E99,LD_SPBase))-LD_SPMin)/(LD_SPMax-LD_SPMin),NA())</f>
        <v>0.26</v>
      </c>
      <c r="L99" s="19">
        <f>IF(ISNUMBER(E99),(LD_SPBase-MAX(LD_SPMin,MIN(E99,LD_SPBase)))/(LD_SPMax-LD_SPMin),NA())</f>
        <v>0.59</v>
      </c>
      <c r="M99" s="19">
        <f>IF(ISNUMBER(E99),(MIN(LD_SPMax,MAX(E99,LD_SPBase))-LD_SPBase)/(LD_SPMax-LD_SPMin),NA())</f>
        <v>0</v>
      </c>
      <c r="N99" s="19">
        <f>IF(ISNUMBER(F99),MAX(0,MIN(1,(F99-LD_GRMin)/(LD_GRMax-LD_GRMin))),NA())</f>
        <v>0.23866666666666664</v>
      </c>
      <c r="O99" s="0">
        <f>IF(ISNUMBER(F99),(F99&gt;=LD_GRB1)+(F99&gt;=LD_GRB2)+(F99&gt;=LD_GRB3)+(F99&gt;=LD_GRB4),NA())</f>
        <v>0</v>
      </c>
      <c r="P99" s="19">
        <f>IF(ISNUMBER(O99),IF(O99=0,N99,0),NA())</f>
        <v>0.23866666666666664</v>
      </c>
      <c r="Q99" s="19">
        <f>IF(ISNUMBER(O99),IF(O99=1,N99,0),NA())</f>
        <v>0</v>
      </c>
      <c r="R99" s="19">
        <f>IF(ISNUMBER(O99),IF(O99=2,N99,0),NA())</f>
        <v>0</v>
      </c>
      <c r="S99" s="19">
        <f>IF(ISNUMBER(O99),IF(O99=3,N99,0),NA())</f>
        <v>0</v>
      </c>
      <c r="T99" s="19">
        <f>IF(ISNUMBER(O99),IF(O99=4,N99,0),NA())</f>
        <v>0</v>
      </c>
      <c r="U99" s="19">
        <f>IF(ISNUMBER(G99),MAX(0,MIN(1,(LOG10(G99)-LD_RLog0)/LD_RSpan)),NA())</f>
        <v>0.32899258636422946</v>
      </c>
      <c r="V99" s="19">
        <f>IF(ISNUMBER(H99),MAX(0,MIN(1,(LOG10(H99)-LD_RLog0)/LD_RSpan)),NA())</f>
        <v>0.21583071503011397</v>
      </c>
      <c r="W99" s="19">
        <f>IF(ISNUMBER(I99),MAX(0,MIN(1,(LOG10(I99)-LD_RLog0)/LD_RSpan)),NA())</f>
        <v>0.13922631726386195</v>
      </c>
      <c r="Y99" s="19"/>
      <c r="Z99" s="19"/>
      <c r="AA99" s="19">
        <f>MAX(0,MIN(1,(LD_Dec0+5+LOG10(4)-LD_RLog0)/LD_RSpan))</f>
        <v>1</v>
      </c>
      <c r="AB99" s="19">
        <v>120.5</v>
      </c>
    </row>
    <row r="100">
      <c r="A100" s="0">
        <v>86</v>
      </c>
      <c r="B100" s="18">
        <f>LD_Top+(A100+0.5)*LD_Step</f>
        <v>5086.5</v>
      </c>
      <c r="C100" s="0">
        <f>IF(OR(LD_N&lt;2,B100&lt;LD_First,B100&gt;LD_Last),0,MIN(MATCH(B100,LD_Depth,1),LD_N-1))</f>
        <v>174</v>
      </c>
      <c r="D100" s="19">
        <f>IF(C100=0,0,(B100-INDEX(LD_Depth,C100))/(INDEX(LD_Depth,C100+1)-INDEX(LD_Depth,C100)))</f>
        <v>0</v>
      </c>
      <c r="E100" s="0">
        <f>IF(C100=0,NA(),IF(AND(IF(ISNUMBER(INDEX(LD_SP,C100)),INDEX(LD_SP,C100)&lt;&gt;LD_Null,FALSE),OR(D100=0,IF(ISNUMBER(INDEX(LD_SP,C100+1)),INDEX(LD_SP,C100+1)&lt;&gt;LD_Null,FALSE))),IF(D100=0,INDEX(LD_SP,C100),INDEX(LD_SP,C100)+D100*(INDEX(LD_SP,C100+1)-INDEX(LD_SP,C100))),NA()))</f>
        <v>-73.2</v>
      </c>
      <c r="F100" s="0">
        <f>IF(C100=0,NA(),IF(AND(IF(ISNUMBER(INDEX(LD_GR,C100)),INDEX(LD_GR,C100)&lt;&gt;LD_Null,FALSE),OR(D100=0,IF(ISNUMBER(INDEX(LD_GR,C100+1)),INDEX(LD_GR,C100+1)&lt;&gt;LD_Null,FALSE))),IF(D100=0,INDEX(LD_GR,C100),INDEX(LD_GR,C100)+D100*(INDEX(LD_GR,C100+1)-INDEX(LD_GR,C100))),NA()))</f>
        <v>39.3</v>
      </c>
      <c r="G100" s="0">
        <f>IF(C100=0,NA(),IF(AND(IF(ISNUMBER(INDEX(LD_RS,C100)),AND(INDEX(LD_RS,C100)&lt;&gt;LD_Null,INDEX(LD_RS,C100)&gt;0),FALSE),OR(D100=0,IF(ISNUMBER(INDEX(LD_RS,C100+1)),AND(INDEX(LD_RS,C100+1)&lt;&gt;LD_Null,INDEX(LD_RS,C100+1)&gt;0),FALSE))),IF(D100=0,INDEX(LD_RS,C100),INDEX(LD_RS,C100)+D100*(INDEX(LD_RS,C100+1)-INDEX(LD_RS,C100))),NA()))</f>
        <v>3.58</v>
      </c>
      <c r="H100" s="0">
        <f>IF(C100=0,NA(),IF(AND(IF(ISNUMBER(INDEX(LD_RM,C100)),AND(INDEX(LD_RM,C100)&lt;&gt;LD_Null,INDEX(LD_RM,C100)&gt;0),FALSE),OR(D100=0,IF(ISNUMBER(INDEX(LD_RM,C100+1)),AND(INDEX(LD_RM,C100+1)&lt;&gt;LD_Null,INDEX(LD_RM,C100+1)&gt;0),FALSE))),IF(D100=0,INDEX(LD_RM,C100),INDEX(LD_RM,C100)+D100*(INDEX(LD_RM,C100+1)-INDEX(LD_RM,C100))),NA()))</f>
        <v>1.35</v>
      </c>
      <c r="I100" s="0">
        <f>IF(C100=0,NA(),IF(AND(IF(ISNUMBER(INDEX(LD_RD,C100)),AND(INDEX(LD_RD,C100)&lt;&gt;LD_Null,INDEX(LD_RD,C100)&gt;0),FALSE),OR(D100=0,IF(ISNUMBER(INDEX(LD_RD,C100+1)),AND(INDEX(LD_RD,C100+1)&lt;&gt;LD_Null,INDEX(LD_RD,C100+1)&gt;0),FALSE))),IF(D100=0,INDEX(LD_RD,C100),INDEX(LD_RD,C100)+D100*(INDEX(LD_RD,C100+1)-INDEX(LD_RD,C100))),NA()))</f>
        <v>0.731</v>
      </c>
      <c r="J100" s="19">
        <f>IF(ISNUMBER(F100),MAX(0,MIN(1,(F100-LD_GRClean)/(LD_GRShale-LD_GRClean))),NA())</f>
        <v>0.10941176470588232</v>
      </c>
      <c r="K100" s="19">
        <f>IF(ISNUMBER(E100),(MAX(LD_SPMin,MIN(E100,LD_SPBase))-LD_SPMin)/(LD_SPMax-LD_SPMin),NA())</f>
        <v>0.26799999999999996</v>
      </c>
      <c r="L100" s="19">
        <f>IF(ISNUMBER(E100),(LD_SPBase-MAX(LD_SPMin,MIN(E100,LD_SPBase)))/(LD_SPMax-LD_SPMin),NA())</f>
        <v>0.5820000000000001</v>
      </c>
      <c r="M100" s="19">
        <f>IF(ISNUMBER(E100),(MIN(LD_SPMax,MAX(E100,LD_SPBase))-LD_SPBase)/(LD_SPMax-LD_SPMin),NA())</f>
        <v>0</v>
      </c>
      <c r="N100" s="19">
        <f>IF(ISNUMBER(F100),MAX(0,MIN(1,(F100-LD_GRMin)/(LD_GRMax-LD_GRMin))),NA())</f>
        <v>0.26199999999999996</v>
      </c>
      <c r="O100" s="0">
        <f>IF(ISNUMBER(F100),(F100&gt;=LD_GRB1)+(F100&gt;=LD_GRB2)+(F100&gt;=LD_GRB3)+(F100&gt;=LD_GRB4),NA())</f>
        <v>0</v>
      </c>
      <c r="P100" s="19">
        <f>IF(ISNUMBER(O100),IF(O100=0,N100,0),NA())</f>
        <v>0.26199999999999996</v>
      </c>
      <c r="Q100" s="19">
        <f>IF(ISNUMBER(O100),IF(O100=1,N100,0),NA())</f>
        <v>0</v>
      </c>
      <c r="R100" s="19">
        <f>IF(ISNUMBER(O100),IF(O100=2,N100,0),NA())</f>
        <v>0</v>
      </c>
      <c r="S100" s="19">
        <f>IF(ISNUMBER(O100),IF(O100=3,N100,0),NA())</f>
        <v>0</v>
      </c>
      <c r="T100" s="19">
        <f>IF(ISNUMBER(O100),IF(O100=4,N100,0),NA())</f>
        <v>0</v>
      </c>
      <c r="U100" s="19">
        <f>IF(ISNUMBER(G100),MAX(0,MIN(1,(LOG10(G100)-LD_RLog0)/LD_RSpan)),NA())</f>
        <v>0.3132132577449733</v>
      </c>
      <c r="V100" s="19">
        <f>IF(ISNUMBER(H100),MAX(0,MIN(1,(LOG10(H100)-LD_RLog0)/LD_RSpan)),NA())</f>
        <v>0.2073259432077562</v>
      </c>
      <c r="W100" s="19">
        <f>IF(ISNUMBER(I100),MAX(0,MIN(1,(LOG10(I100)-LD_RLog0)/LD_RSpan)),NA())</f>
        <v>0.1407218453234698</v>
      </c>
      <c r="Y100" s="19"/>
      <c r="Z100" s="19"/>
      <c r="AA100" s="19">
        <f>MAX(0,MIN(1,(LD_Dec0+5+LOG10(5)-LD_RLog0)/LD_RSpan))</f>
        <v>1</v>
      </c>
      <c r="AB100" s="19">
        <v>120.5</v>
      </c>
    </row>
    <row r="101">
      <c r="A101" s="0">
        <v>87</v>
      </c>
      <c r="B101" s="18">
        <f>LD_Top+(A101+0.5)*LD_Step</f>
        <v>5087.5</v>
      </c>
      <c r="C101" s="0">
        <f>IF(OR(LD_N&lt;2,B101&lt;LD_First,B101&gt;LD_Last),0,MIN(MATCH(B101,LD_Depth,1),LD_N-1))</f>
        <v>176</v>
      </c>
      <c r="D101" s="19">
        <f>IF(C101=0,0,(B101-INDEX(LD_Depth,C101))/(INDEX(LD_Depth,C101+1)-INDEX(LD_Depth,C101)))</f>
        <v>0</v>
      </c>
      <c r="E101" s="0">
        <f>IF(C101=0,NA(),IF(AND(IF(ISNUMBER(INDEX(LD_SP,C101)),INDEX(LD_SP,C101)&lt;&gt;LD_Null,FALSE),OR(D101=0,IF(ISNUMBER(INDEX(LD_SP,C101+1)),INDEX(LD_SP,C101+1)&lt;&gt;LD_Null,FALSE))),IF(D101=0,INDEX(LD_SP,C101),INDEX(LD_SP,C101)+D101*(INDEX(LD_SP,C101+1)-INDEX(LD_SP,C101))),NA()))</f>
        <v>-74.6</v>
      </c>
      <c r="F101" s="0">
        <f>IF(C101=0,NA(),IF(AND(IF(ISNUMBER(INDEX(LD_GR,C101)),INDEX(LD_GR,C101)&lt;&gt;LD_Null,FALSE),OR(D101=0,IF(ISNUMBER(INDEX(LD_GR,C101+1)),INDEX(LD_GR,C101+1)&lt;&gt;LD_Null,FALSE))),IF(D101=0,INDEX(LD_GR,C101),INDEX(LD_GR,C101)+D101*(INDEX(LD_GR,C101+1)-INDEX(LD_GR,C101))),NA()))</f>
        <v>34.9</v>
      </c>
      <c r="G101" s="0">
        <f>IF(C101=0,NA(),IF(AND(IF(ISNUMBER(INDEX(LD_RS,C101)),AND(INDEX(LD_RS,C101)&lt;&gt;LD_Null,INDEX(LD_RS,C101)&gt;0),FALSE),OR(D101=0,IF(ISNUMBER(INDEX(LD_RS,C101+1)),AND(INDEX(LD_RS,C101+1)&lt;&gt;LD_Null,INDEX(LD_RS,C101+1)&gt;0),FALSE))),IF(D101=0,INDEX(LD_RS,C101),INDEX(LD_RS,C101)+D101*(INDEX(LD_RS,C101+1)-INDEX(LD_RS,C101))),NA()))</f>
        <v>3.71</v>
      </c>
      <c r="H101" s="0">
        <f>IF(C101=0,NA(),IF(AND(IF(ISNUMBER(INDEX(LD_RM,C101)),AND(INDEX(LD_RM,C101)&lt;&gt;LD_Null,INDEX(LD_RM,C101)&gt;0),FALSE),OR(D101=0,IF(ISNUMBER(INDEX(LD_RM,C101+1)),AND(INDEX(LD_RM,C101+1)&lt;&gt;LD_Null,INDEX(LD_RM,C101+1)&gt;0),FALSE))),IF(D101=0,INDEX(LD_RM,C101),INDEX(LD_RM,C101)+D101*(INDEX(LD_RM,C101+1)-INDEX(LD_RM,C101))),NA()))</f>
        <v>1.32</v>
      </c>
      <c r="I101" s="0">
        <f>IF(C101=0,NA(),IF(AND(IF(ISNUMBER(INDEX(LD_RD,C101)),AND(INDEX(LD_RD,C101)&lt;&gt;LD_Null,INDEX(LD_RD,C101)&gt;0),FALSE),OR(D101=0,IF(ISNUMBER(INDEX(LD_RD,C101+1)),AND(INDEX(LD_RD,C101+1)&lt;&gt;LD_Null,INDEX(LD_RD,C101+1)&gt;0),FALSE))),IF(D101=0,INDEX(LD_RD,C101),INDEX(LD_RD,C101)+D101*(INDEX(LD_RD,C101+1)-INDEX(LD_RD,C101))),NA()))</f>
        <v>0.764</v>
      </c>
      <c r="J101" s="19">
        <f>IF(ISNUMBER(F101),MAX(0,MIN(1,(F101-LD_GRClean)/(LD_GRShale-LD_GRClean))),NA())</f>
        <v>0.0576470588235294</v>
      </c>
      <c r="K101" s="19">
        <f>IF(ISNUMBER(E101),(MAX(LD_SPMin,MIN(E101,LD_SPBase))-LD_SPMin)/(LD_SPMax-LD_SPMin),NA())</f>
        <v>0.25400000000000006</v>
      </c>
      <c r="L101" s="19">
        <f>IF(ISNUMBER(E101),(LD_SPBase-MAX(LD_SPMin,MIN(E101,LD_SPBase)))/(LD_SPMax-LD_SPMin),NA())</f>
        <v>0.596</v>
      </c>
      <c r="M101" s="19">
        <f>IF(ISNUMBER(E101),(MIN(LD_SPMax,MAX(E101,LD_SPBase))-LD_SPBase)/(LD_SPMax-LD_SPMin),NA())</f>
        <v>0</v>
      </c>
      <c r="N101" s="19">
        <f>IF(ISNUMBER(F101),MAX(0,MIN(1,(F101-LD_GRMin)/(LD_GRMax-LD_GRMin))),NA())</f>
        <v>0.23266666666666666</v>
      </c>
      <c r="O101" s="0">
        <f>IF(ISNUMBER(F101),(F101&gt;=LD_GRB1)+(F101&gt;=LD_GRB2)+(F101&gt;=LD_GRB3)+(F101&gt;=LD_GRB4),NA())</f>
        <v>0</v>
      </c>
      <c r="P101" s="19">
        <f>IF(ISNUMBER(O101),IF(O101=0,N101,0),NA())</f>
        <v>0.23266666666666666</v>
      </c>
      <c r="Q101" s="19">
        <f>IF(ISNUMBER(O101),IF(O101=1,N101,0),NA())</f>
        <v>0</v>
      </c>
      <c r="R101" s="19">
        <f>IF(ISNUMBER(O101),IF(O101=2,N101,0),NA())</f>
        <v>0</v>
      </c>
      <c r="S101" s="19">
        <f>IF(ISNUMBER(O101),IF(O101=3,N101,0),NA())</f>
        <v>0</v>
      </c>
      <c r="T101" s="19">
        <f>IF(ISNUMBER(O101),IF(O101=4,N101,0),NA())</f>
        <v>0</v>
      </c>
      <c r="U101" s="19">
        <f>IF(ISNUMBER(G101),MAX(0,MIN(1,(LOG10(G101)-LD_RLog0)/LD_RSpan)),NA())</f>
        <v>0.31708597848776615</v>
      </c>
      <c r="V101" s="19">
        <f>IF(ISNUMBER(H101),MAX(0,MIN(1,(LOG10(H101)-LD_RLog0)/LD_RSpan)),NA())</f>
        <v>0.20488598388546717</v>
      </c>
      <c r="W101" s="19">
        <f>IF(ISNUMBER(I101),MAX(0,MIN(1,(LOG10(I101)-LD_RLog0)/LD_RSpan)),NA())</f>
        <v>0.14551584072792717</v>
      </c>
      <c r="Y101" s="19"/>
      <c r="Z101" s="19"/>
      <c r="AA101" s="19">
        <f>MAX(0,MIN(1,(LD_Dec0+5+LOG10(5)-LD_RLog0)/LD_RSpan))</f>
        <v>1</v>
      </c>
      <c r="AB101" s="19">
        <v>-1.5</v>
      </c>
    </row>
    <row r="102">
      <c r="A102" s="0">
        <v>88</v>
      </c>
      <c r="B102" s="18">
        <f>LD_Top+(A102+0.5)*LD_Step</f>
        <v>5088.5</v>
      </c>
      <c r="C102" s="0">
        <f>IF(OR(LD_N&lt;2,B102&lt;LD_First,B102&gt;LD_Last),0,MIN(MATCH(B102,LD_Depth,1),LD_N-1))</f>
        <v>178</v>
      </c>
      <c r="D102" s="19">
        <f>IF(C102=0,0,(B102-INDEX(LD_Depth,C102))/(INDEX(LD_Depth,C102+1)-INDEX(LD_Depth,C102)))</f>
        <v>0</v>
      </c>
      <c r="E102" s="0">
        <f>IF(C102=0,NA(),IF(AND(IF(ISNUMBER(INDEX(LD_SP,C102)),INDEX(LD_SP,C102)&lt;&gt;LD_Null,FALSE),OR(D102=0,IF(ISNUMBER(INDEX(LD_SP,C102+1)),INDEX(LD_SP,C102+1)&lt;&gt;LD_Null,FALSE))),IF(D102=0,INDEX(LD_SP,C102),INDEX(LD_SP,C102)+D102*(INDEX(LD_SP,C102+1)-INDEX(LD_SP,C102))),NA()))</f>
        <v>-74.5</v>
      </c>
      <c r="F102" s="0">
        <f>IF(C102=0,NA(),IF(AND(IF(ISNUMBER(INDEX(LD_GR,C102)),INDEX(LD_GR,C102)&lt;&gt;LD_Null,FALSE),OR(D102=0,IF(ISNUMBER(INDEX(LD_GR,C102+1)),INDEX(LD_GR,C102+1)&lt;&gt;LD_Null,FALSE))),IF(D102=0,INDEX(LD_GR,C102),INDEX(LD_GR,C102)+D102*(INDEX(LD_GR,C102+1)-INDEX(LD_GR,C102))),NA()))</f>
        <v>32.9</v>
      </c>
      <c r="G102" s="0">
        <f>IF(C102=0,NA(),IF(AND(IF(ISNUMBER(INDEX(LD_RS,C102)),AND(INDEX(LD_RS,C102)&lt;&gt;LD_Null,INDEX(LD_RS,C102)&gt;0),FALSE),OR(D102=0,IF(ISNUMBER(INDEX(LD_RS,C102+1)),AND(INDEX(LD_RS,C102+1)&lt;&gt;LD_Null,INDEX(LD_RS,C102+1)&gt;0),FALSE))),IF(D102=0,INDEX(LD_RS,C102),INDEX(LD_RS,C102)+D102*(INDEX(LD_RS,C102+1)-INDEX(LD_RS,C102))),NA()))</f>
        <v>3.95</v>
      </c>
      <c r="H102" s="0">
        <f>IF(C102=0,NA(),IF(AND(IF(ISNUMBER(INDEX(LD_RM,C102)),AND(INDEX(LD_RM,C102)&lt;&gt;LD_Null,INDEX(LD_RM,C102)&gt;0),FALSE),OR(D102=0,IF(ISNUMBER(INDEX(LD_RM,C102+1)),AND(INDEX(LD_RM,C102+1)&lt;&gt;LD_Null,INDEX(LD_RM,C102+1)&gt;0),FALSE))),IF(D102=0,INDEX(LD_RM,C102),INDEX(LD_RM,C102)+D102*(INDEX(LD_RM,C102+1)-INDEX(LD_RM,C102))),NA()))</f>
        <v>1.55</v>
      </c>
      <c r="I102" s="0">
        <f>IF(C102=0,NA(),IF(AND(IF(ISNUMBER(INDEX(LD_RD,C102)),AND(INDEX(LD_RD,C102)&lt;&gt;LD_Null,INDEX(LD_RD,C102)&gt;0),FALSE),OR(D102=0,IF(ISNUMBER(INDEX(LD_RD,C102+1)),AND(INDEX(LD_RD,C102+1)&lt;&gt;LD_Null,INDEX(LD_RD,C102+1)&gt;0),FALSE))),IF(D102=0,INDEX(LD_RD,C102),INDEX(LD_RD,C102)+D102*(INDEX(LD_RD,C102+1)-INDEX(LD_RD,C102))),NA()))</f>
        <v>0.776</v>
      </c>
      <c r="J102" s="19">
        <f>IF(ISNUMBER(F102),MAX(0,MIN(1,(F102-LD_GRClean)/(LD_GRShale-LD_GRClean))),NA())</f>
        <v>0.03411764705882351</v>
      </c>
      <c r="K102" s="19">
        <f>IF(ISNUMBER(E102),(MAX(LD_SPMin,MIN(E102,LD_SPBase))-LD_SPMin)/(LD_SPMax-LD_SPMin),NA())</f>
        <v>0.255</v>
      </c>
      <c r="L102" s="19">
        <f>IF(ISNUMBER(E102),(LD_SPBase-MAX(LD_SPMin,MIN(E102,LD_SPBase)))/(LD_SPMax-LD_SPMin),NA())</f>
        <v>0.595</v>
      </c>
      <c r="M102" s="19">
        <f>IF(ISNUMBER(E102),(MIN(LD_SPMax,MAX(E102,LD_SPBase))-LD_SPBase)/(LD_SPMax-LD_SPMin),NA())</f>
        <v>0</v>
      </c>
      <c r="N102" s="19">
        <f>IF(ISNUMBER(F102),MAX(0,MIN(1,(F102-LD_GRMin)/(LD_GRMax-LD_GRMin))),NA())</f>
        <v>0.21933333333333332</v>
      </c>
      <c r="O102" s="0">
        <f>IF(ISNUMBER(F102),(F102&gt;=LD_GRB1)+(F102&gt;=LD_GRB2)+(F102&gt;=LD_GRB3)+(F102&gt;=LD_GRB4),NA())</f>
        <v>0</v>
      </c>
      <c r="P102" s="19">
        <f>IF(ISNUMBER(O102),IF(O102=0,N102,0),NA())</f>
        <v>0.21933333333333332</v>
      </c>
      <c r="Q102" s="19">
        <f>IF(ISNUMBER(O102),IF(O102=1,N102,0),NA())</f>
        <v>0</v>
      </c>
      <c r="R102" s="19">
        <f>IF(ISNUMBER(O102),IF(O102=2,N102,0),NA())</f>
        <v>0</v>
      </c>
      <c r="S102" s="19">
        <f>IF(ISNUMBER(O102),IF(O102=3,N102,0),NA())</f>
        <v>0</v>
      </c>
      <c r="T102" s="19">
        <f>IF(ISNUMBER(O102),IF(O102=4,N102,0),NA())</f>
        <v>0</v>
      </c>
      <c r="U102" s="19">
        <f>IF(ISNUMBER(G102),MAX(0,MIN(1,(LOG10(G102)-LD_RLog0)/LD_RSpan)),NA())</f>
        <v>0.3238917749906197</v>
      </c>
      <c r="V102" s="19">
        <f>IF(ISNUMBER(H102),MAX(0,MIN(1,(LOG10(H102)-LD_RLog0)/LD_RSpan)),NA())</f>
        <v>0.22232542562657756</v>
      </c>
      <c r="W102" s="19">
        <f>IF(ISNUMBER(I102),MAX(0,MIN(1,(LOG10(I102)-LD_RLog0)/LD_RSpan)),NA())</f>
        <v>0.14720793139855182</v>
      </c>
      <c r="Y102" s="19"/>
      <c r="Z102" s="19"/>
      <c r="AA102" s="19">
        <f>MAX(0,MIN(1,(LD_Dec0+5+LOG10(6)-LD_RLog0)/LD_RSpan))</f>
        <v>1</v>
      </c>
      <c r="AB102" s="19">
        <v>-1.5</v>
      </c>
    </row>
    <row r="103">
      <c r="A103" s="0">
        <v>89</v>
      </c>
      <c r="B103" s="18">
        <f>LD_Top+(A103+0.5)*LD_Step</f>
        <v>5089.5</v>
      </c>
      <c r="C103" s="0">
        <f>IF(OR(LD_N&lt;2,B103&lt;LD_First,B103&gt;LD_Last),0,MIN(MATCH(B103,LD_Depth,1),LD_N-1))</f>
        <v>180</v>
      </c>
      <c r="D103" s="19">
        <f>IF(C103=0,0,(B103-INDEX(LD_Depth,C103))/(INDEX(LD_Depth,C103+1)-INDEX(LD_Depth,C103)))</f>
        <v>0</v>
      </c>
      <c r="E103" s="0">
        <f>IF(C103=0,NA(),IF(AND(IF(ISNUMBER(INDEX(LD_SP,C103)),INDEX(LD_SP,C103)&lt;&gt;LD_Null,FALSE),OR(D103=0,IF(ISNUMBER(INDEX(LD_SP,C103+1)),INDEX(LD_SP,C103+1)&lt;&gt;LD_Null,FALSE))),IF(D103=0,INDEX(LD_SP,C103),INDEX(LD_SP,C103)+D103*(INDEX(LD_SP,C103+1)-INDEX(LD_SP,C103))),NA()))</f>
        <v>-73.2</v>
      </c>
      <c r="F103" s="0">
        <f>IF(C103=0,NA(),IF(AND(IF(ISNUMBER(INDEX(LD_GR,C103)),INDEX(LD_GR,C103)&lt;&gt;LD_Null,FALSE),OR(D103=0,IF(ISNUMBER(INDEX(LD_GR,C103+1)),INDEX(LD_GR,C103+1)&lt;&gt;LD_Null,FALSE))),IF(D103=0,INDEX(LD_GR,C103),INDEX(LD_GR,C103)+D103*(INDEX(LD_GR,C103+1)-INDEX(LD_GR,C103))),NA()))</f>
        <v>39</v>
      </c>
      <c r="G103" s="0">
        <f>IF(C103=0,NA(),IF(AND(IF(ISNUMBER(INDEX(LD_RS,C103)),AND(INDEX(LD_RS,C103)&lt;&gt;LD_Null,INDEX(LD_RS,C103)&gt;0),FALSE),OR(D103=0,IF(ISNUMBER(INDEX(LD_RS,C103+1)),AND(INDEX(LD_RS,C103+1)&lt;&gt;LD_Null,INDEX(LD_RS,C103+1)&gt;0),FALSE))),IF(D103=0,INDEX(LD_RS,C103),INDEX(LD_RS,C103)+D103*(INDEX(LD_RS,C103+1)-INDEX(LD_RS,C103))),NA()))</f>
        <v>3.88</v>
      </c>
      <c r="H103" s="0">
        <f>IF(C103=0,NA(),IF(AND(IF(ISNUMBER(INDEX(LD_RM,C103)),AND(INDEX(LD_RM,C103)&lt;&gt;LD_Null,INDEX(LD_RM,C103)&gt;0),FALSE),OR(D103=0,IF(ISNUMBER(INDEX(LD_RM,C103+1)),AND(INDEX(LD_RM,C103+1)&lt;&gt;LD_Null,INDEX(LD_RM,C103+1)&gt;0),FALSE))),IF(D103=0,INDEX(LD_RM,C103),INDEX(LD_RM,C103)+D103*(INDEX(LD_RM,C103+1)-INDEX(LD_RM,C103))),NA()))</f>
        <v>1.39</v>
      </c>
      <c r="I103" s="0">
        <f>IF(C103=0,NA(),IF(AND(IF(ISNUMBER(INDEX(LD_RD,C103)),AND(INDEX(LD_RD,C103)&lt;&gt;LD_Null,INDEX(LD_RD,C103)&gt;0),FALSE),OR(D103=0,IF(ISNUMBER(INDEX(LD_RD,C103+1)),AND(INDEX(LD_RD,C103+1)&lt;&gt;LD_Null,INDEX(LD_RD,C103+1)&gt;0),FALSE))),IF(D103=0,INDEX(LD_RD,C103),INDEX(LD_RD,C103)+D103*(INDEX(LD_RD,C103+1)-INDEX(LD_RD,C103))),NA()))</f>
        <v>0.739</v>
      </c>
      <c r="J103" s="19">
        <f>IF(ISNUMBER(F103),MAX(0,MIN(1,(F103-LD_GRClean)/(LD_GRShale-LD_GRClean))),NA())</f>
        <v>0.10588235294117647</v>
      </c>
      <c r="K103" s="19">
        <f>IF(ISNUMBER(E103),(MAX(LD_SPMin,MIN(E103,LD_SPBase))-LD_SPMin)/(LD_SPMax-LD_SPMin),NA())</f>
        <v>0.26799999999999996</v>
      </c>
      <c r="L103" s="19">
        <f>IF(ISNUMBER(E103),(LD_SPBase-MAX(LD_SPMin,MIN(E103,LD_SPBase)))/(LD_SPMax-LD_SPMin),NA())</f>
        <v>0.5820000000000001</v>
      </c>
      <c r="M103" s="19">
        <f>IF(ISNUMBER(E103),(MIN(LD_SPMax,MAX(E103,LD_SPBase))-LD_SPBase)/(LD_SPMax-LD_SPMin),NA())</f>
        <v>0</v>
      </c>
      <c r="N103" s="19">
        <f>IF(ISNUMBER(F103),MAX(0,MIN(1,(F103-LD_GRMin)/(LD_GRMax-LD_GRMin))),NA())</f>
        <v>0.26</v>
      </c>
      <c r="O103" s="0">
        <f>IF(ISNUMBER(F103),(F103&gt;=LD_GRB1)+(F103&gt;=LD_GRB2)+(F103&gt;=LD_GRB3)+(F103&gt;=LD_GRB4),NA())</f>
        <v>0</v>
      </c>
      <c r="P103" s="19">
        <f>IF(ISNUMBER(O103),IF(O103=0,N103,0),NA())</f>
        <v>0.26</v>
      </c>
      <c r="Q103" s="19">
        <f>IF(ISNUMBER(O103),IF(O103=1,N103,0),NA())</f>
        <v>0</v>
      </c>
      <c r="R103" s="19">
        <f>IF(ISNUMBER(O103),IF(O103=2,N103,0),NA())</f>
        <v>0</v>
      </c>
      <c r="S103" s="19">
        <f>IF(ISNUMBER(O103),IF(O103=3,N103,0),NA())</f>
        <v>0</v>
      </c>
      <c r="T103" s="19">
        <f>IF(ISNUMBER(O103),IF(O103=4,N103,0),NA())</f>
        <v>0</v>
      </c>
      <c r="U103" s="19">
        <f>IF(ISNUMBER(G103),MAX(0,MIN(1,(LOG10(G103)-LD_RLog0)/LD_RSpan)),NA())</f>
        <v>0.3219504324825565</v>
      </c>
      <c r="V103" s="19">
        <f>IF(ISNUMBER(H103),MAX(0,MIN(1,(LOG10(H103)-LD_RLog0)/LD_RSpan)),NA())</f>
        <v>0.21049620114752846</v>
      </c>
      <c r="W103" s="19">
        <f>IF(ISNUMBER(I103),MAX(0,MIN(1,(LOG10(I103)-LD_RLog0)/LD_RSpan)),NA())</f>
        <v>0.14190361068271112</v>
      </c>
      <c r="Y103" s="19"/>
      <c r="Z103" s="19"/>
      <c r="AA103" s="19">
        <f>MAX(0,MIN(1,(LD_Dec0+5+LOG10(6)-LD_RLog0)/LD_RSpan))</f>
        <v>1</v>
      </c>
      <c r="AB103" s="19">
        <v>120.5</v>
      </c>
    </row>
    <row r="104">
      <c r="A104" s="0">
        <v>90</v>
      </c>
      <c r="B104" s="18">
        <f>LD_Top+(A104+0.5)*LD_Step</f>
        <v>5090.5</v>
      </c>
      <c r="C104" s="0">
        <f>IF(OR(LD_N&lt;2,B104&lt;LD_First,B104&gt;LD_Last),0,MIN(MATCH(B104,LD_Depth,1),LD_N-1))</f>
        <v>182</v>
      </c>
      <c r="D104" s="19">
        <f>IF(C104=0,0,(B104-INDEX(LD_Depth,C104))/(INDEX(LD_Depth,C104+1)-INDEX(LD_Depth,C104)))</f>
        <v>0</v>
      </c>
      <c r="E104" s="0">
        <f>IF(C104=0,NA(),IF(AND(IF(ISNUMBER(INDEX(LD_SP,C104)),INDEX(LD_SP,C104)&lt;&gt;LD_Null,FALSE),OR(D104=0,IF(ISNUMBER(INDEX(LD_SP,C104+1)),INDEX(LD_SP,C104+1)&lt;&gt;LD_Null,FALSE))),IF(D104=0,INDEX(LD_SP,C104),INDEX(LD_SP,C104)+D104*(INDEX(LD_SP,C104+1)-INDEX(LD_SP,C104))),NA()))</f>
        <v>-73.5</v>
      </c>
      <c r="F104" s="0">
        <f>IF(C104=0,NA(),IF(AND(IF(ISNUMBER(INDEX(LD_GR,C104)),INDEX(LD_GR,C104)&lt;&gt;LD_Null,FALSE),OR(D104=0,IF(ISNUMBER(INDEX(LD_GR,C104+1)),INDEX(LD_GR,C104+1)&lt;&gt;LD_Null,FALSE))),IF(D104=0,INDEX(LD_GR,C104),INDEX(LD_GR,C104)+D104*(INDEX(LD_GR,C104+1)-INDEX(LD_GR,C104))),NA()))</f>
        <v>36.2</v>
      </c>
      <c r="G104" s="0">
        <f>IF(C104=0,NA(),IF(AND(IF(ISNUMBER(INDEX(LD_RS,C104)),AND(INDEX(LD_RS,C104)&lt;&gt;LD_Null,INDEX(LD_RS,C104)&gt;0),FALSE),OR(D104=0,IF(ISNUMBER(INDEX(LD_RS,C104+1)),AND(INDEX(LD_RS,C104+1)&lt;&gt;LD_Null,INDEX(LD_RS,C104+1)&gt;0),FALSE))),IF(D104=0,INDEX(LD_RS,C104),INDEX(LD_RS,C104)+D104*(INDEX(LD_RS,C104+1)-INDEX(LD_RS,C104))),NA()))</f>
        <v>3.64</v>
      </c>
      <c r="H104" s="0">
        <f>IF(C104=0,NA(),IF(AND(IF(ISNUMBER(INDEX(LD_RM,C104)),AND(INDEX(LD_RM,C104)&lt;&gt;LD_Null,INDEX(LD_RM,C104)&gt;0),FALSE),OR(D104=0,IF(ISNUMBER(INDEX(LD_RM,C104+1)),AND(INDEX(LD_RM,C104+1)&lt;&gt;LD_Null,INDEX(LD_RM,C104+1)&gt;0),FALSE))),IF(D104=0,INDEX(LD_RM,C104),INDEX(LD_RM,C104)+D104*(INDEX(LD_RM,C104+1)-INDEX(LD_RM,C104))),NA()))</f>
        <v>1.28</v>
      </c>
      <c r="I104" s="0">
        <f>IF(C104=0,NA(),IF(AND(IF(ISNUMBER(INDEX(LD_RD,C104)),AND(INDEX(LD_RD,C104)&lt;&gt;LD_Null,INDEX(LD_RD,C104)&gt;0),FALSE),OR(D104=0,IF(ISNUMBER(INDEX(LD_RD,C104+1)),AND(INDEX(LD_RD,C104+1)&lt;&gt;LD_Null,INDEX(LD_RD,C104+1)&gt;0),FALSE))),IF(D104=0,INDEX(LD_RD,C104),INDEX(LD_RD,C104)+D104*(INDEX(LD_RD,C104+1)-INDEX(LD_RD,C104))),NA()))</f>
        <v>0.713</v>
      </c>
      <c r="J104" s="19">
        <f>IF(ISNUMBER(F104),MAX(0,MIN(1,(F104-LD_GRClean)/(LD_GRShale-LD_GRClean))),NA())</f>
        <v>0.07294117647058827</v>
      </c>
      <c r="K104" s="19">
        <f>IF(ISNUMBER(E104),(MAX(LD_SPMin,MIN(E104,LD_SPBase))-LD_SPMin)/(LD_SPMax-LD_SPMin),NA())</f>
        <v>0.265</v>
      </c>
      <c r="L104" s="19">
        <f>IF(ISNUMBER(E104),(LD_SPBase-MAX(LD_SPMin,MIN(E104,LD_SPBase)))/(LD_SPMax-LD_SPMin),NA())</f>
        <v>0.585</v>
      </c>
      <c r="M104" s="19">
        <f>IF(ISNUMBER(E104),(MIN(LD_SPMax,MAX(E104,LD_SPBase))-LD_SPBase)/(LD_SPMax-LD_SPMin),NA())</f>
        <v>0</v>
      </c>
      <c r="N104" s="19">
        <f>IF(ISNUMBER(F104),MAX(0,MIN(1,(F104-LD_GRMin)/(LD_GRMax-LD_GRMin))),NA())</f>
        <v>0.24133333333333334</v>
      </c>
      <c r="O104" s="0">
        <f>IF(ISNUMBER(F104),(F104&gt;=LD_GRB1)+(F104&gt;=LD_GRB2)+(F104&gt;=LD_GRB3)+(F104&gt;=LD_GRB4),NA())</f>
        <v>0</v>
      </c>
      <c r="P104" s="19">
        <f>IF(ISNUMBER(O104),IF(O104=0,N104,0),NA())</f>
        <v>0.24133333333333334</v>
      </c>
      <c r="Q104" s="19">
        <f>IF(ISNUMBER(O104),IF(O104=1,N104,0),NA())</f>
        <v>0</v>
      </c>
      <c r="R104" s="19">
        <f>IF(ISNUMBER(O104),IF(O104=2,N104,0),NA())</f>
        <v>0</v>
      </c>
      <c r="S104" s="19">
        <f>IF(ISNUMBER(O104),IF(O104=3,N104,0),NA())</f>
        <v>0</v>
      </c>
      <c r="T104" s="19">
        <f>IF(ISNUMBER(O104),IF(O104=4,N104,0),NA())</f>
        <v>0</v>
      </c>
      <c r="U104" s="19">
        <f>IF(ISNUMBER(G104),MAX(0,MIN(1,(LOG10(G104)-LD_RLog0)/LD_RSpan)),NA())</f>
        <v>0.31501784699626867</v>
      </c>
      <c r="V104" s="19">
        <f>IF(ISNUMBER(H104),MAX(0,MIN(1,(LOG10(H104)-LD_RLog0)/LD_RSpan)),NA())</f>
        <v>0.20154499349597177</v>
      </c>
      <c r="W104" s="19">
        <f>IF(ISNUMBER(I104),MAX(0,MIN(1,(LOG10(I104)-LD_RLog0)/LD_RSpan)),NA())</f>
        <v>0.13801488354697106</v>
      </c>
      <c r="Y104" s="19"/>
      <c r="Z104" s="19"/>
      <c r="AA104" s="19">
        <f>MAX(0,MIN(1,(LD_Dec0+5+LOG10(7)-LD_RLog0)/LD_RSpan))</f>
        <v>1</v>
      </c>
      <c r="AB104" s="19">
        <v>120.5</v>
      </c>
    </row>
    <row r="105">
      <c r="A105" s="0">
        <v>91</v>
      </c>
      <c r="B105" s="18">
        <f>LD_Top+(A105+0.5)*LD_Step</f>
        <v>5091.5</v>
      </c>
      <c r="C105" s="0">
        <f>IF(OR(LD_N&lt;2,B105&lt;LD_First,B105&gt;LD_Last),0,MIN(MATCH(B105,LD_Depth,1),LD_N-1))</f>
        <v>184</v>
      </c>
      <c r="D105" s="19">
        <f>IF(C105=0,0,(B105-INDEX(LD_Depth,C105))/(INDEX(LD_Depth,C105+1)-INDEX(LD_Depth,C105)))</f>
        <v>0</v>
      </c>
      <c r="E105" s="0">
        <f>IF(C105=0,NA(),IF(AND(IF(ISNUMBER(INDEX(LD_SP,C105)),INDEX(LD_SP,C105)&lt;&gt;LD_Null,FALSE),OR(D105=0,IF(ISNUMBER(INDEX(LD_SP,C105+1)),INDEX(LD_SP,C105+1)&lt;&gt;LD_Null,FALSE))),IF(D105=0,INDEX(LD_SP,C105),INDEX(LD_SP,C105)+D105*(INDEX(LD_SP,C105+1)-INDEX(LD_SP,C105))),NA()))</f>
        <v>-75.5</v>
      </c>
      <c r="F105" s="0">
        <f>IF(C105=0,NA(),IF(AND(IF(ISNUMBER(INDEX(LD_GR,C105)),INDEX(LD_GR,C105)&lt;&gt;LD_Null,FALSE),OR(D105=0,IF(ISNUMBER(INDEX(LD_GR,C105+1)),INDEX(LD_GR,C105+1)&lt;&gt;LD_Null,FALSE))),IF(D105=0,INDEX(LD_GR,C105),INDEX(LD_GR,C105)+D105*(INDEX(LD_GR,C105+1)-INDEX(LD_GR,C105))),NA()))</f>
        <v>35.1</v>
      </c>
      <c r="G105" s="0">
        <f>IF(C105=0,NA(),IF(AND(IF(ISNUMBER(INDEX(LD_RS,C105)),AND(INDEX(LD_RS,C105)&lt;&gt;LD_Null,INDEX(LD_RS,C105)&gt;0),FALSE),OR(D105=0,IF(ISNUMBER(INDEX(LD_RS,C105+1)),AND(INDEX(LD_RS,C105+1)&lt;&gt;LD_Null,INDEX(LD_RS,C105+1)&gt;0),FALSE))),IF(D105=0,INDEX(LD_RS,C105),INDEX(LD_RS,C105)+D105*(INDEX(LD_RS,C105+1)-INDEX(LD_RS,C105))),NA()))</f>
        <v>3.81</v>
      </c>
      <c r="H105" s="0">
        <f>IF(C105=0,NA(),IF(AND(IF(ISNUMBER(INDEX(LD_RM,C105)),AND(INDEX(LD_RM,C105)&lt;&gt;LD_Null,INDEX(LD_RM,C105)&gt;0),FALSE),OR(D105=0,IF(ISNUMBER(INDEX(LD_RM,C105+1)),AND(INDEX(LD_RM,C105+1)&lt;&gt;LD_Null,INDEX(LD_RM,C105+1)&gt;0),FALSE))),IF(D105=0,INDEX(LD_RM,C105),INDEX(LD_RM,C105)+D105*(INDEX(LD_RM,C105+1)-INDEX(LD_RM,C105))),NA()))</f>
        <v>1.46</v>
      </c>
      <c r="I105" s="0">
        <f>IF(C105=0,NA(),IF(AND(IF(ISNUMBER(INDEX(LD_RD,C105)),AND(INDEX(LD_RD,C105)&lt;&gt;LD_Null,INDEX(LD_RD,C105)&gt;0),FALSE),OR(D105=0,IF(ISNUMBER(INDEX(LD_RD,C105+1)),AND(INDEX(LD_RD,C105+1)&lt;&gt;LD_Null,INDEX(LD_RD,C105+1)&gt;0),FALSE))),IF(D105=0,INDEX(LD_RD,C105),INDEX(LD_RD,C105)+D105*(INDEX(LD_RD,C105+1)-INDEX(LD_RD,C105))),NA()))</f>
        <v>0.774</v>
      </c>
      <c r="J105" s="19">
        <f>IF(ISNUMBER(F105),MAX(0,MIN(1,(F105-LD_GRClean)/(LD_GRShale-LD_GRClean))),NA())</f>
        <v>0.06000000000000002</v>
      </c>
      <c r="K105" s="19">
        <f>IF(ISNUMBER(E105),(MAX(LD_SPMin,MIN(E105,LD_SPBase))-LD_SPMin)/(LD_SPMax-LD_SPMin),NA())</f>
        <v>0.245</v>
      </c>
      <c r="L105" s="19">
        <f>IF(ISNUMBER(E105),(LD_SPBase-MAX(LD_SPMin,MIN(E105,LD_SPBase)))/(LD_SPMax-LD_SPMin),NA())</f>
        <v>0.605</v>
      </c>
      <c r="M105" s="19">
        <f>IF(ISNUMBER(E105),(MIN(LD_SPMax,MAX(E105,LD_SPBase))-LD_SPBase)/(LD_SPMax-LD_SPMin),NA())</f>
        <v>0</v>
      </c>
      <c r="N105" s="19">
        <f>IF(ISNUMBER(F105),MAX(0,MIN(1,(F105-LD_GRMin)/(LD_GRMax-LD_GRMin))),NA())</f>
        <v>0.234</v>
      </c>
      <c r="O105" s="0">
        <f>IF(ISNUMBER(F105),(F105&gt;=LD_GRB1)+(F105&gt;=LD_GRB2)+(F105&gt;=LD_GRB3)+(F105&gt;=LD_GRB4),NA())</f>
        <v>0</v>
      </c>
      <c r="P105" s="19">
        <f>IF(ISNUMBER(O105),IF(O105=0,N105,0),NA())</f>
        <v>0.234</v>
      </c>
      <c r="Q105" s="19">
        <f>IF(ISNUMBER(O105),IF(O105=1,N105,0),NA())</f>
        <v>0</v>
      </c>
      <c r="R105" s="19">
        <f>IF(ISNUMBER(O105),IF(O105=2,N105,0),NA())</f>
        <v>0</v>
      </c>
      <c r="S105" s="19">
        <f>IF(ISNUMBER(O105),IF(O105=3,N105,0),NA())</f>
        <v>0</v>
      </c>
      <c r="T105" s="19">
        <f>IF(ISNUMBER(O105),IF(O105=4,N105,0),NA())</f>
        <v>0</v>
      </c>
      <c r="U105" s="19">
        <f>IF(ISNUMBER(G105),MAX(0,MIN(1,(LOG10(G105)-LD_RLog0)/LD_RSpan)),NA())</f>
        <v>0.31997374500290954</v>
      </c>
      <c r="V105" s="19">
        <f>IF(ISNUMBER(H105),MAX(0,MIN(1,(LOG10(H105)-LD_RLog0)/LD_RSpan)),NA())</f>
        <v>0.21583071503011397</v>
      </c>
      <c r="W105" s="19">
        <f>IF(ISNUMBER(I105),MAX(0,MIN(1,(LOG10(I105)-LD_RLog0)/LD_RSpan)),NA())</f>
        <v>0.14692774125472785</v>
      </c>
      <c r="Y105" s="19"/>
      <c r="Z105" s="19"/>
      <c r="AA105" s="19">
        <f>MAX(0,MIN(1,(LD_Dec0+5+LOG10(7)-LD_RLog0)/LD_RSpan))</f>
        <v>1</v>
      </c>
      <c r="AB105" s="19">
        <v>-1.5</v>
      </c>
    </row>
    <row r="106">
      <c r="A106" s="0">
        <v>92</v>
      </c>
      <c r="B106" s="18">
        <f>LD_Top+(A106+0.5)*LD_Step</f>
        <v>5092.5</v>
      </c>
      <c r="C106" s="0">
        <f>IF(OR(LD_N&lt;2,B106&lt;LD_First,B106&gt;LD_Last),0,MIN(MATCH(B106,LD_Depth,1),LD_N-1))</f>
        <v>186</v>
      </c>
      <c r="D106" s="19">
        <f>IF(C106=0,0,(B106-INDEX(LD_Depth,C106))/(INDEX(LD_Depth,C106+1)-INDEX(LD_Depth,C106)))</f>
        <v>0</v>
      </c>
      <c r="E106" s="0">
        <f>IF(C106=0,NA(),IF(AND(IF(ISNUMBER(INDEX(LD_SP,C106)),INDEX(LD_SP,C106)&lt;&gt;LD_Null,FALSE),OR(D106=0,IF(ISNUMBER(INDEX(LD_SP,C106+1)),INDEX(LD_SP,C106+1)&lt;&gt;LD_Null,FALSE))),IF(D106=0,INDEX(LD_SP,C106),INDEX(LD_SP,C106)+D106*(INDEX(LD_SP,C106+1)-INDEX(LD_SP,C106))),NA()))</f>
        <v>-73.4</v>
      </c>
      <c r="F106" s="0">
        <f>IF(C106=0,NA(),IF(AND(IF(ISNUMBER(INDEX(LD_GR,C106)),INDEX(LD_GR,C106)&lt;&gt;LD_Null,FALSE),OR(D106=0,IF(ISNUMBER(INDEX(LD_GR,C106+1)),INDEX(LD_GR,C106+1)&lt;&gt;LD_Null,FALSE))),IF(D106=0,INDEX(LD_GR,C106),INDEX(LD_GR,C106)+D106*(INDEX(LD_GR,C106+1)-INDEX(LD_GR,C106))),NA()))</f>
        <v>34.8</v>
      </c>
      <c r="G106" s="0">
        <f>IF(C106=0,NA(),IF(AND(IF(ISNUMBER(INDEX(LD_RS,C106)),AND(INDEX(LD_RS,C106)&lt;&gt;LD_Null,INDEX(LD_RS,C106)&gt;0),FALSE),OR(D106=0,IF(ISNUMBER(INDEX(LD_RS,C106+1)),AND(INDEX(LD_RS,C106+1)&lt;&gt;LD_Null,INDEX(LD_RS,C106+1)&gt;0),FALSE))),IF(D106=0,INDEX(LD_RS,C106),INDEX(LD_RS,C106)+D106*(INDEX(LD_RS,C106+1)-INDEX(LD_RS,C106))),NA()))</f>
        <v>3.83</v>
      </c>
      <c r="H106" s="0">
        <f>IF(C106=0,NA(),IF(AND(IF(ISNUMBER(INDEX(LD_RM,C106)),AND(INDEX(LD_RM,C106)&lt;&gt;LD_Null,INDEX(LD_RM,C106)&gt;0),FALSE),OR(D106=0,IF(ISNUMBER(INDEX(LD_RM,C106+1)),AND(INDEX(LD_RM,C106+1)&lt;&gt;LD_Null,INDEX(LD_RM,C106+1)&gt;0),FALSE))),IF(D106=0,INDEX(LD_RM,C106),INDEX(LD_RM,C106)+D106*(INDEX(LD_RM,C106+1)-INDEX(LD_RM,C106))),NA()))</f>
        <v>1.47</v>
      </c>
      <c r="I106" s="0">
        <f>IF(C106=0,NA(),IF(AND(IF(ISNUMBER(INDEX(LD_RD,C106)),AND(INDEX(LD_RD,C106)&lt;&gt;LD_Null,INDEX(LD_RD,C106)&gt;0),FALSE),OR(D106=0,IF(ISNUMBER(INDEX(LD_RD,C106+1)),AND(INDEX(LD_RD,C106+1)&lt;&gt;LD_Null,INDEX(LD_RD,C106+1)&gt;0),FALSE))),IF(D106=0,INDEX(LD_RD,C106),INDEX(LD_RD,C106)+D106*(INDEX(LD_RD,C106+1)-INDEX(LD_RD,C106))),NA()))</f>
        <v>0.805</v>
      </c>
      <c r="J106" s="19">
        <f>IF(ISNUMBER(F106),MAX(0,MIN(1,(F106-LD_GRClean)/(LD_GRShale-LD_GRClean))),NA())</f>
        <v>0.056470588235294085</v>
      </c>
      <c r="K106" s="19">
        <f>IF(ISNUMBER(E106),(MAX(LD_SPMin,MIN(E106,LD_SPBase))-LD_SPMin)/(LD_SPMax-LD_SPMin),NA())</f>
        <v>0.26599999999999996</v>
      </c>
      <c r="L106" s="19">
        <f>IF(ISNUMBER(E106),(LD_SPBase-MAX(LD_SPMin,MIN(E106,LD_SPBase)))/(LD_SPMax-LD_SPMin),NA())</f>
        <v>0.5840000000000001</v>
      </c>
      <c r="M106" s="19">
        <f>IF(ISNUMBER(E106),(MIN(LD_SPMax,MAX(E106,LD_SPBase))-LD_SPBase)/(LD_SPMax-LD_SPMin),NA())</f>
        <v>0</v>
      </c>
      <c r="N106" s="19">
        <f>IF(ISNUMBER(F106),MAX(0,MIN(1,(F106-LD_GRMin)/(LD_GRMax-LD_GRMin))),NA())</f>
        <v>0.23199999999999998</v>
      </c>
      <c r="O106" s="0">
        <f>IF(ISNUMBER(F106),(F106&gt;=LD_GRB1)+(F106&gt;=LD_GRB2)+(F106&gt;=LD_GRB3)+(F106&gt;=LD_GRB4),NA())</f>
        <v>0</v>
      </c>
      <c r="P106" s="19">
        <f>IF(ISNUMBER(O106),IF(O106=0,N106,0),NA())</f>
        <v>0.23199999999999998</v>
      </c>
      <c r="Q106" s="19">
        <f>IF(ISNUMBER(O106),IF(O106=1,N106,0),NA())</f>
        <v>0</v>
      </c>
      <c r="R106" s="19">
        <f>IF(ISNUMBER(O106),IF(O106=2,N106,0),NA())</f>
        <v>0</v>
      </c>
      <c r="S106" s="19">
        <f>IF(ISNUMBER(O106),IF(O106=3,N106,0),NA())</f>
        <v>0</v>
      </c>
      <c r="T106" s="19">
        <f>IF(ISNUMBER(O106),IF(O106=4,N106,0),NA())</f>
        <v>0</v>
      </c>
      <c r="U106" s="19">
        <f>IF(ISNUMBER(G106),MAX(0,MIN(1,(LOG10(G106)-LD_RLog0)/LD_RSpan)),NA())</f>
        <v>0.3205421945761604</v>
      </c>
      <c r="V106" s="19">
        <f>IF(ISNUMBER(H106),MAX(0,MIN(1,(LOG10(H106)-LD_RLog0)/LD_RSpan)),NA())</f>
        <v>0.2165718347710487</v>
      </c>
      <c r="W106" s="19">
        <f>IF(ISNUMBER(I106),MAX(0,MIN(1,(LOG10(I106)-LD_RLog0)/LD_RSpan)),NA())</f>
        <v>0.15119147117597181</v>
      </c>
      <c r="Y106" s="19"/>
      <c r="Z106" s="19"/>
      <c r="AA106" s="19">
        <f>MAX(0,MIN(1,(LD_Dec0+5+LOG10(8)-LD_RLog0)/LD_RSpan))</f>
        <v>1</v>
      </c>
      <c r="AB106" s="19">
        <v>-1.5</v>
      </c>
    </row>
    <row r="107">
      <c r="A107" s="0">
        <v>93</v>
      </c>
      <c r="B107" s="18">
        <f>LD_Top+(A107+0.5)*LD_Step</f>
        <v>5093.5</v>
      </c>
      <c r="C107" s="0">
        <f>IF(OR(LD_N&lt;2,B107&lt;LD_First,B107&gt;LD_Last),0,MIN(MATCH(B107,LD_Depth,1),LD_N-1))</f>
        <v>188</v>
      </c>
      <c r="D107" s="19">
        <f>IF(C107=0,0,(B107-INDEX(LD_Depth,C107))/(INDEX(LD_Depth,C107+1)-INDEX(LD_Depth,C107)))</f>
        <v>0</v>
      </c>
      <c r="E107" s="0">
        <f>IF(C107=0,NA(),IF(AND(IF(ISNUMBER(INDEX(LD_SP,C107)),INDEX(LD_SP,C107)&lt;&gt;LD_Null,FALSE),OR(D107=0,IF(ISNUMBER(INDEX(LD_SP,C107+1)),INDEX(LD_SP,C107+1)&lt;&gt;LD_Null,FALSE))),IF(D107=0,INDEX(LD_SP,C107),INDEX(LD_SP,C107)+D107*(INDEX(LD_SP,C107+1)-INDEX(LD_SP,C107))),NA()))</f>
        <v>-73.2</v>
      </c>
      <c r="F107" s="0">
        <f>IF(C107=0,NA(),IF(AND(IF(ISNUMBER(INDEX(LD_GR,C107)),INDEX(LD_GR,C107)&lt;&gt;LD_Null,FALSE),OR(D107=0,IF(ISNUMBER(INDEX(LD_GR,C107+1)),INDEX(LD_GR,C107+1)&lt;&gt;LD_Null,FALSE))),IF(D107=0,INDEX(LD_GR,C107),INDEX(LD_GR,C107)+D107*(INDEX(LD_GR,C107+1)-INDEX(LD_GR,C107))),NA()))</f>
        <v>37.5</v>
      </c>
      <c r="G107" s="0">
        <f>IF(C107=0,NA(),IF(AND(IF(ISNUMBER(INDEX(LD_RS,C107)),AND(INDEX(LD_RS,C107)&lt;&gt;LD_Null,INDEX(LD_RS,C107)&gt;0),FALSE),OR(D107=0,IF(ISNUMBER(INDEX(LD_RS,C107+1)),AND(INDEX(LD_RS,C107+1)&lt;&gt;LD_Null,INDEX(LD_RS,C107+1)&gt;0),FALSE))),IF(D107=0,INDEX(LD_RS,C107),INDEX(LD_RS,C107)+D107*(INDEX(LD_RS,C107+1)-INDEX(LD_RS,C107))),NA()))</f>
        <v>3.95</v>
      </c>
      <c r="H107" s="0">
        <f>IF(C107=0,NA(),IF(AND(IF(ISNUMBER(INDEX(LD_RM,C107)),AND(INDEX(LD_RM,C107)&lt;&gt;LD_Null,INDEX(LD_RM,C107)&gt;0),FALSE),OR(D107=0,IF(ISNUMBER(INDEX(LD_RM,C107+1)),AND(INDEX(LD_RM,C107+1)&lt;&gt;LD_Null,INDEX(LD_RM,C107+1)&gt;0),FALSE))),IF(D107=0,INDEX(LD_RM,C107),INDEX(LD_RM,C107)+D107*(INDEX(LD_RM,C107+1)-INDEX(LD_RM,C107))),NA()))</f>
        <v>1.33</v>
      </c>
      <c r="I107" s="0">
        <f>IF(C107=0,NA(),IF(AND(IF(ISNUMBER(INDEX(LD_RD,C107)),AND(INDEX(LD_RD,C107)&lt;&gt;LD_Null,INDEX(LD_RD,C107)&gt;0),FALSE),OR(D107=0,IF(ISNUMBER(INDEX(LD_RD,C107+1)),AND(INDEX(LD_RD,C107+1)&lt;&gt;LD_Null,INDEX(LD_RD,C107+1)&gt;0),FALSE))),IF(D107=0,INDEX(LD_RD,C107),INDEX(LD_RD,C107)+D107*(INDEX(LD_RD,C107+1)-INDEX(LD_RD,C107))),NA()))</f>
        <v>0.679</v>
      </c>
      <c r="J107" s="19">
        <f>IF(ISNUMBER(F107),MAX(0,MIN(1,(F107-LD_GRClean)/(LD_GRShale-LD_GRClean))),NA())</f>
        <v>0.08823529411764706</v>
      </c>
      <c r="K107" s="19">
        <f>IF(ISNUMBER(E107),(MAX(LD_SPMin,MIN(E107,LD_SPBase))-LD_SPMin)/(LD_SPMax-LD_SPMin),NA())</f>
        <v>0.26799999999999996</v>
      </c>
      <c r="L107" s="19">
        <f>IF(ISNUMBER(E107),(LD_SPBase-MAX(LD_SPMin,MIN(E107,LD_SPBase)))/(LD_SPMax-LD_SPMin),NA())</f>
        <v>0.5820000000000001</v>
      </c>
      <c r="M107" s="19">
        <f>IF(ISNUMBER(E107),(MIN(LD_SPMax,MAX(E107,LD_SPBase))-LD_SPBase)/(LD_SPMax-LD_SPMin),NA())</f>
        <v>0</v>
      </c>
      <c r="N107" s="19">
        <f>IF(ISNUMBER(F107),MAX(0,MIN(1,(F107-LD_GRMin)/(LD_GRMax-LD_GRMin))),NA())</f>
        <v>0.25</v>
      </c>
      <c r="O107" s="0">
        <f>IF(ISNUMBER(F107),(F107&gt;=LD_GRB1)+(F107&gt;=LD_GRB2)+(F107&gt;=LD_GRB3)+(F107&gt;=LD_GRB4),NA())</f>
        <v>0</v>
      </c>
      <c r="P107" s="19">
        <f>IF(ISNUMBER(O107),IF(O107=0,N107,0),NA())</f>
        <v>0.25</v>
      </c>
      <c r="Q107" s="19">
        <f>IF(ISNUMBER(O107),IF(O107=1,N107,0),NA())</f>
        <v>0</v>
      </c>
      <c r="R107" s="19">
        <f>IF(ISNUMBER(O107),IF(O107=2,N107,0),NA())</f>
        <v>0</v>
      </c>
      <c r="S107" s="19">
        <f>IF(ISNUMBER(O107),IF(O107=3,N107,0),NA())</f>
        <v>0</v>
      </c>
      <c r="T107" s="19">
        <f>IF(ISNUMBER(O107),IF(O107=4,N107,0),NA())</f>
        <v>0</v>
      </c>
      <c r="U107" s="19">
        <f>IF(ISNUMBER(G107),MAX(0,MIN(1,(LOG10(G107)-LD_RLog0)/LD_RSpan)),NA())</f>
        <v>0.3238917749906197</v>
      </c>
      <c r="V107" s="19">
        <f>IF(ISNUMBER(H107),MAX(0,MIN(1,(LOG10(H107)-LD_RLog0)/LD_RSpan)),NA())</f>
        <v>0.20570541132577613</v>
      </c>
      <c r="W107" s="19">
        <f>IF(ISNUMBER(I107),MAX(0,MIN(1,(LOG10(I107)-LD_RLog0)/LD_RSpan)),NA())</f>
        <v>0.1327099446541301</v>
      </c>
      <c r="Y107" s="19"/>
      <c r="Z107" s="19"/>
      <c r="AA107" s="19">
        <f>MAX(0,MIN(1,(LD_Dec0+5+LOG10(8)-LD_RLog0)/LD_RSpan))</f>
        <v>1</v>
      </c>
      <c r="AB107" s="19">
        <v>120.5</v>
      </c>
    </row>
    <row r="108">
      <c r="A108" s="0">
        <v>94</v>
      </c>
      <c r="B108" s="18">
        <f>LD_Top+(A108+0.5)*LD_Step</f>
        <v>5094.5</v>
      </c>
      <c r="C108" s="0">
        <f>IF(OR(LD_N&lt;2,B108&lt;LD_First,B108&gt;LD_Last),0,MIN(MATCH(B108,LD_Depth,1),LD_N-1))</f>
        <v>190</v>
      </c>
      <c r="D108" s="19">
        <f>IF(C108=0,0,(B108-INDEX(LD_Depth,C108))/(INDEX(LD_Depth,C108+1)-INDEX(LD_Depth,C108)))</f>
        <v>0</v>
      </c>
      <c r="E108" s="0">
        <f>IF(C108=0,NA(),IF(AND(IF(ISNUMBER(INDEX(LD_SP,C108)),INDEX(LD_SP,C108)&lt;&gt;LD_Null,FALSE),OR(D108=0,IF(ISNUMBER(INDEX(LD_SP,C108+1)),INDEX(LD_SP,C108+1)&lt;&gt;LD_Null,FALSE))),IF(D108=0,INDEX(LD_SP,C108),INDEX(LD_SP,C108)+D108*(INDEX(LD_SP,C108+1)-INDEX(LD_SP,C108))),NA()))</f>
        <v>-74.5</v>
      </c>
      <c r="F108" s="0">
        <f>IF(C108=0,NA(),IF(AND(IF(ISNUMBER(INDEX(LD_GR,C108)),INDEX(LD_GR,C108)&lt;&gt;LD_Null,FALSE),OR(D108=0,IF(ISNUMBER(INDEX(LD_GR,C108+1)),INDEX(LD_GR,C108+1)&lt;&gt;LD_Null,FALSE))),IF(D108=0,INDEX(LD_GR,C108),INDEX(LD_GR,C108)+D108*(INDEX(LD_GR,C108+1)-INDEX(LD_GR,C108))),NA()))</f>
        <v>37</v>
      </c>
      <c r="G108" s="0">
        <f>IF(C108=0,NA(),IF(AND(IF(ISNUMBER(INDEX(LD_RS,C108)),AND(INDEX(LD_RS,C108)&lt;&gt;LD_Null,INDEX(LD_RS,C108)&gt;0),FALSE),OR(D108=0,IF(ISNUMBER(INDEX(LD_RS,C108+1)),AND(INDEX(LD_RS,C108+1)&lt;&gt;LD_Null,INDEX(LD_RS,C108+1)&gt;0),FALSE))),IF(D108=0,INDEX(LD_RS,C108),INDEX(LD_RS,C108)+D108*(INDEX(LD_RS,C108+1)-INDEX(LD_RS,C108))),NA()))</f>
        <v>3.6</v>
      </c>
      <c r="H108" s="0">
        <f>IF(C108=0,NA(),IF(AND(IF(ISNUMBER(INDEX(LD_RM,C108)),AND(INDEX(LD_RM,C108)&lt;&gt;LD_Null,INDEX(LD_RM,C108)&gt;0),FALSE),OR(D108=0,IF(ISNUMBER(INDEX(LD_RM,C108+1)),AND(INDEX(LD_RM,C108+1)&lt;&gt;LD_Null,INDEX(LD_RM,C108+1)&gt;0),FALSE))),IF(D108=0,INDEX(LD_RM,C108),INDEX(LD_RM,C108)+D108*(INDEX(LD_RM,C108+1)-INDEX(LD_RM,C108))),NA()))</f>
        <v>1.37</v>
      </c>
      <c r="I108" s="0">
        <f>IF(C108=0,NA(),IF(AND(IF(ISNUMBER(INDEX(LD_RD,C108)),AND(INDEX(LD_RD,C108)&lt;&gt;LD_Null,INDEX(LD_RD,C108)&gt;0),FALSE),OR(D108=0,IF(ISNUMBER(INDEX(LD_RD,C108+1)),AND(INDEX(LD_RD,C108+1)&lt;&gt;LD_Null,INDEX(LD_RD,C108+1)&gt;0),FALSE))),IF(D108=0,INDEX(LD_RD,C108),INDEX(LD_RD,C108)+D108*(INDEX(LD_RD,C108+1)-INDEX(LD_RD,C108))),NA()))</f>
        <v>0.751</v>
      </c>
      <c r="J108" s="19">
        <f>IF(ISNUMBER(F108),MAX(0,MIN(1,(F108-LD_GRClean)/(LD_GRShale-LD_GRClean))),NA())</f>
        <v>0.08235294117647059</v>
      </c>
      <c r="K108" s="19">
        <f>IF(ISNUMBER(E108),(MAX(LD_SPMin,MIN(E108,LD_SPBase))-LD_SPMin)/(LD_SPMax-LD_SPMin),NA())</f>
        <v>0.255</v>
      </c>
      <c r="L108" s="19">
        <f>IF(ISNUMBER(E108),(LD_SPBase-MAX(LD_SPMin,MIN(E108,LD_SPBase)))/(LD_SPMax-LD_SPMin),NA())</f>
        <v>0.595</v>
      </c>
      <c r="M108" s="19">
        <f>IF(ISNUMBER(E108),(MIN(LD_SPMax,MAX(E108,LD_SPBase))-LD_SPBase)/(LD_SPMax-LD_SPMin),NA())</f>
        <v>0</v>
      </c>
      <c r="N108" s="19">
        <f>IF(ISNUMBER(F108),MAX(0,MIN(1,(F108-LD_GRMin)/(LD_GRMax-LD_GRMin))),NA())</f>
        <v>0.24666666666666667</v>
      </c>
      <c r="O108" s="0">
        <f>IF(ISNUMBER(F108),(F108&gt;=LD_GRB1)+(F108&gt;=LD_GRB2)+(F108&gt;=LD_GRB3)+(F108&gt;=LD_GRB4),NA())</f>
        <v>0</v>
      </c>
      <c r="P108" s="19">
        <f>IF(ISNUMBER(O108),IF(O108=0,N108,0),NA())</f>
        <v>0.24666666666666667</v>
      </c>
      <c r="Q108" s="19">
        <f>IF(ISNUMBER(O108),IF(O108=1,N108,0),NA())</f>
        <v>0</v>
      </c>
      <c r="R108" s="19">
        <f>IF(ISNUMBER(O108),IF(O108=2,N108,0),NA())</f>
        <v>0</v>
      </c>
      <c r="S108" s="19">
        <f>IF(ISNUMBER(O108),IF(O108=3,N108,0),NA())</f>
        <v>0</v>
      </c>
      <c r="T108" s="19">
        <f>IF(ISNUMBER(O108),IF(O108=4,N108,0),NA())</f>
        <v>0</v>
      </c>
      <c r="U108" s="19">
        <f>IF(ISNUMBER(G108),MAX(0,MIN(1,(LOG10(G108)-LD_RLog0)/LD_RSpan)),NA())</f>
        <v>0.3138181262758265</v>
      </c>
      <c r="V108" s="19">
        <f>IF(ISNUMBER(H108),MAX(0,MIN(1,(LOG10(H108)-LD_RLog0)/LD_RSpan)),NA())</f>
        <v>0.20892264287310638</v>
      </c>
      <c r="W108" s="19">
        <f>IF(ISNUMBER(I108),MAX(0,MIN(1,(LOG10(I108)-LD_RLog0)/LD_RSpan)),NA())</f>
        <v>0.1436524853350468</v>
      </c>
      <c r="Y108" s="19"/>
      <c r="Z108" s="19"/>
      <c r="AA108" s="19">
        <f>MAX(0,MIN(1,(LD_Dec0+5+LOG10(9)-LD_RLog0)/LD_RSpan))</f>
        <v>1</v>
      </c>
      <c r="AB108" s="19">
        <v>120.5</v>
      </c>
    </row>
    <row r="109">
      <c r="A109" s="0">
        <v>95</v>
      </c>
      <c r="B109" s="18">
        <f>LD_Top+(A109+0.5)*LD_Step</f>
        <v>5095.5</v>
      </c>
      <c r="C109" s="0">
        <f>IF(OR(LD_N&lt;2,B109&lt;LD_First,B109&gt;LD_Last),0,MIN(MATCH(B109,LD_Depth,1),LD_N-1))</f>
        <v>192</v>
      </c>
      <c r="D109" s="19">
        <f>IF(C109=0,0,(B109-INDEX(LD_Depth,C109))/(INDEX(LD_Depth,C109+1)-INDEX(LD_Depth,C109)))</f>
        <v>0</v>
      </c>
      <c r="E109" s="0">
        <f>IF(C109=0,NA(),IF(AND(IF(ISNUMBER(INDEX(LD_SP,C109)),INDEX(LD_SP,C109)&lt;&gt;LD_Null,FALSE),OR(D109=0,IF(ISNUMBER(INDEX(LD_SP,C109+1)),INDEX(LD_SP,C109+1)&lt;&gt;LD_Null,FALSE))),IF(D109=0,INDEX(LD_SP,C109),INDEX(LD_SP,C109)+D109*(INDEX(LD_SP,C109+1)-INDEX(LD_SP,C109))),NA()))</f>
        <v>-74.2</v>
      </c>
      <c r="F109" s="0">
        <f>IF(C109=0,NA(),IF(AND(IF(ISNUMBER(INDEX(LD_GR,C109)),INDEX(LD_GR,C109)&lt;&gt;LD_Null,FALSE),OR(D109=0,IF(ISNUMBER(INDEX(LD_GR,C109+1)),INDEX(LD_GR,C109+1)&lt;&gt;LD_Null,FALSE))),IF(D109=0,INDEX(LD_GR,C109),INDEX(LD_GR,C109)+D109*(INDEX(LD_GR,C109+1)-INDEX(LD_GR,C109))),NA()))</f>
        <v>35.3</v>
      </c>
      <c r="G109" s="0">
        <f>IF(C109=0,NA(),IF(AND(IF(ISNUMBER(INDEX(LD_RS,C109)),AND(INDEX(LD_RS,C109)&lt;&gt;LD_Null,INDEX(LD_RS,C109)&gt;0),FALSE),OR(D109=0,IF(ISNUMBER(INDEX(LD_RS,C109+1)),AND(INDEX(LD_RS,C109+1)&lt;&gt;LD_Null,INDEX(LD_RS,C109+1)&gt;0),FALSE))),IF(D109=0,INDEX(LD_RS,C109),INDEX(LD_RS,C109)+D109*(INDEX(LD_RS,C109+1)-INDEX(LD_RS,C109))),NA()))</f>
        <v>3.73</v>
      </c>
      <c r="H109" s="0">
        <f>IF(C109=0,NA(),IF(AND(IF(ISNUMBER(INDEX(LD_RM,C109)),AND(INDEX(LD_RM,C109)&lt;&gt;LD_Null,INDEX(LD_RM,C109)&gt;0),FALSE),OR(D109=0,IF(ISNUMBER(INDEX(LD_RM,C109+1)),AND(INDEX(LD_RM,C109+1)&lt;&gt;LD_Null,INDEX(LD_RM,C109+1)&gt;0),FALSE))),IF(D109=0,INDEX(LD_RM,C109),INDEX(LD_RM,C109)+D109*(INDEX(LD_RM,C109+1)-INDEX(LD_RM,C109))),NA()))</f>
        <v>1.45</v>
      </c>
      <c r="I109" s="0">
        <f>IF(C109=0,NA(),IF(AND(IF(ISNUMBER(INDEX(LD_RD,C109)),AND(INDEX(LD_RD,C109)&lt;&gt;LD_Null,INDEX(LD_RD,C109)&gt;0),FALSE),OR(D109=0,IF(ISNUMBER(INDEX(LD_RD,C109+1)),AND(INDEX(LD_RD,C109+1)&lt;&gt;LD_Null,INDEX(LD_RD,C109+1)&gt;0),FALSE))),IF(D109=0,INDEX(LD_RD,C109),INDEX(LD_RD,C109)+D109*(INDEX(LD_RD,C109+1)-INDEX(LD_RD,C109))),NA()))</f>
        <v>0.814</v>
      </c>
      <c r="J109" s="19">
        <f>IF(ISNUMBER(F109),MAX(0,MIN(1,(F109-LD_GRClean)/(LD_GRShale-LD_GRClean))),NA())</f>
        <v>0.062352941176470555</v>
      </c>
      <c r="K109" s="19">
        <f>IF(ISNUMBER(E109),(MAX(LD_SPMin,MIN(E109,LD_SPBase))-LD_SPMin)/(LD_SPMax-LD_SPMin),NA())</f>
        <v>0.25799999999999995</v>
      </c>
      <c r="L109" s="19">
        <f>IF(ISNUMBER(E109),(LD_SPBase-MAX(LD_SPMin,MIN(E109,LD_SPBase)))/(LD_SPMax-LD_SPMin),NA())</f>
        <v>0.5920000000000001</v>
      </c>
      <c r="M109" s="19">
        <f>IF(ISNUMBER(E109),(MIN(LD_SPMax,MAX(E109,LD_SPBase))-LD_SPBase)/(LD_SPMax-LD_SPMin),NA())</f>
        <v>0</v>
      </c>
      <c r="N109" s="19">
        <f>IF(ISNUMBER(F109),MAX(0,MIN(1,(F109-LD_GRMin)/(LD_GRMax-LD_GRMin))),NA())</f>
        <v>0.2353333333333333</v>
      </c>
      <c r="O109" s="0">
        <f>IF(ISNUMBER(F109),(F109&gt;=LD_GRB1)+(F109&gt;=LD_GRB2)+(F109&gt;=LD_GRB3)+(F109&gt;=LD_GRB4),NA())</f>
        <v>0</v>
      </c>
      <c r="P109" s="19">
        <f>IF(ISNUMBER(O109),IF(O109=0,N109,0),NA())</f>
        <v>0.2353333333333333</v>
      </c>
      <c r="Q109" s="19">
        <f>IF(ISNUMBER(O109),IF(O109=1,N109,0),NA())</f>
        <v>0</v>
      </c>
      <c r="R109" s="19">
        <f>IF(ISNUMBER(O109),IF(O109=2,N109,0),NA())</f>
        <v>0</v>
      </c>
      <c r="S109" s="19">
        <f>IF(ISNUMBER(O109),IF(O109=3,N109,0),NA())</f>
        <v>0</v>
      </c>
      <c r="T109" s="19">
        <f>IF(ISNUMBER(O109),IF(O109=4,N109,0),NA())</f>
        <v>0</v>
      </c>
      <c r="U109" s="19">
        <f>IF(ISNUMBER(G109),MAX(0,MIN(1,(LOG10(G109)-LD_RLog0)/LD_RSpan)),NA())</f>
        <v>0.3176697090361766</v>
      </c>
      <c r="V109" s="19">
        <f>IF(ISNUMBER(H109),MAX(0,MIN(1,(LOG10(H109)-LD_RLog0)/LD_RSpan)),NA())</f>
        <v>0.2150845016427484</v>
      </c>
      <c r="W109" s="19">
        <f>IF(ISNUMBER(I109),MAX(0,MIN(1,(LOG10(I109)-LD_RLog0)/LD_RSpan)),NA())</f>
        <v>0.15239860230630498</v>
      </c>
      <c r="Y109" s="19"/>
      <c r="Z109" s="19"/>
      <c r="AA109" s="19">
        <f>MAX(0,MIN(1,(LD_Dec0+5+LOG10(9)-LD_RLog0)/LD_RSpan))</f>
        <v>1</v>
      </c>
      <c r="AB109" s="19">
        <v>-1.5</v>
      </c>
    </row>
    <row r="110">
      <c r="A110" s="0">
        <v>96</v>
      </c>
      <c r="B110" s="18">
        <f>LD_Top+(A110+0.5)*LD_Step</f>
        <v>5096.5</v>
      </c>
      <c r="C110" s="0">
        <f>IF(OR(LD_N&lt;2,B110&lt;LD_First,B110&gt;LD_Last),0,MIN(MATCH(B110,LD_Depth,1),LD_N-1))</f>
        <v>194</v>
      </c>
      <c r="D110" s="19">
        <f>IF(C110=0,0,(B110-INDEX(LD_Depth,C110))/(INDEX(LD_Depth,C110+1)-INDEX(LD_Depth,C110)))</f>
        <v>0</v>
      </c>
      <c r="E110" s="0">
        <f>IF(C110=0,NA(),IF(AND(IF(ISNUMBER(INDEX(LD_SP,C110)),INDEX(LD_SP,C110)&lt;&gt;LD_Null,FALSE),OR(D110=0,IF(ISNUMBER(INDEX(LD_SP,C110+1)),INDEX(LD_SP,C110+1)&lt;&gt;LD_Null,FALSE))),IF(D110=0,INDEX(LD_SP,C110),INDEX(LD_SP,C110)+D110*(INDEX(LD_SP,C110+1)-INDEX(LD_SP,C110))),NA()))</f>
        <v>-72.7</v>
      </c>
      <c r="F110" s="0">
        <f>IF(C110=0,NA(),IF(AND(IF(ISNUMBER(INDEX(LD_GR,C110)),INDEX(LD_GR,C110)&lt;&gt;LD_Null,FALSE),OR(D110=0,IF(ISNUMBER(INDEX(LD_GR,C110+1)),INDEX(LD_GR,C110+1)&lt;&gt;LD_Null,FALSE))),IF(D110=0,INDEX(LD_GR,C110),INDEX(LD_GR,C110)+D110*(INDEX(LD_GR,C110+1)-INDEX(LD_GR,C110))),NA()))</f>
        <v>34.6</v>
      </c>
      <c r="G110" s="0">
        <f>IF(C110=0,NA(),IF(AND(IF(ISNUMBER(INDEX(LD_RS,C110)),AND(INDEX(LD_RS,C110)&lt;&gt;LD_Null,INDEX(LD_RS,C110)&gt;0),FALSE),OR(D110=0,IF(ISNUMBER(INDEX(LD_RS,C110+1)),AND(INDEX(LD_RS,C110+1)&lt;&gt;LD_Null,INDEX(LD_RS,C110+1)&gt;0),FALSE))),IF(D110=0,INDEX(LD_RS,C110),INDEX(LD_RS,C110)+D110*(INDEX(LD_RS,C110+1)-INDEX(LD_RS,C110))),NA()))</f>
        <v>4.02</v>
      </c>
      <c r="H110" s="0">
        <f>IF(C110=0,NA(),IF(AND(IF(ISNUMBER(INDEX(LD_RM,C110)),AND(INDEX(LD_RM,C110)&lt;&gt;LD_Null,INDEX(LD_RM,C110)&gt;0),FALSE),OR(D110=0,IF(ISNUMBER(INDEX(LD_RM,C110+1)),AND(INDEX(LD_RM,C110+1)&lt;&gt;LD_Null,INDEX(LD_RM,C110+1)&gt;0),FALSE))),IF(D110=0,INDEX(LD_RM,C110),INDEX(LD_RM,C110)+D110*(INDEX(LD_RM,C110+1)-INDEX(LD_RM,C110))),NA()))</f>
        <v>1.43</v>
      </c>
      <c r="I110" s="0">
        <f>IF(C110=0,NA(),IF(AND(IF(ISNUMBER(INDEX(LD_RD,C110)),AND(INDEX(LD_RD,C110)&lt;&gt;LD_Null,INDEX(LD_RD,C110)&gt;0),FALSE),OR(D110=0,IF(ISNUMBER(INDEX(LD_RD,C110+1)),AND(INDEX(LD_RD,C110+1)&lt;&gt;LD_Null,INDEX(LD_RD,C110+1)&gt;0),FALSE))),IF(D110=0,INDEX(LD_RD,C110),INDEX(LD_RD,C110)+D110*(INDEX(LD_RD,C110+1)-INDEX(LD_RD,C110))),NA()))</f>
        <v>0.745</v>
      </c>
      <c r="J110" s="19">
        <f>IF(ISNUMBER(F110),MAX(0,MIN(1,(F110-LD_GRClean)/(LD_GRShale-LD_GRClean))),NA())</f>
        <v>0.05411764705882355</v>
      </c>
      <c r="K110" s="19">
        <f>IF(ISNUMBER(E110),(MAX(LD_SPMin,MIN(E110,LD_SPBase))-LD_SPMin)/(LD_SPMax-LD_SPMin),NA())</f>
        <v>0.27299999999999996</v>
      </c>
      <c r="L110" s="19">
        <f>IF(ISNUMBER(E110),(LD_SPBase-MAX(LD_SPMin,MIN(E110,LD_SPBase)))/(LD_SPMax-LD_SPMin),NA())</f>
        <v>0.5770000000000001</v>
      </c>
      <c r="M110" s="19">
        <f>IF(ISNUMBER(E110),(MIN(LD_SPMax,MAX(E110,LD_SPBase))-LD_SPBase)/(LD_SPMax-LD_SPMin),NA())</f>
        <v>0</v>
      </c>
      <c r="N110" s="19">
        <f>IF(ISNUMBER(F110),MAX(0,MIN(1,(F110-LD_GRMin)/(LD_GRMax-LD_GRMin))),NA())</f>
        <v>0.2306666666666667</v>
      </c>
      <c r="O110" s="0">
        <f>IF(ISNUMBER(F110),(F110&gt;=LD_GRB1)+(F110&gt;=LD_GRB2)+(F110&gt;=LD_GRB3)+(F110&gt;=LD_GRB4),NA())</f>
        <v>0</v>
      </c>
      <c r="P110" s="19">
        <f>IF(ISNUMBER(O110),IF(O110=0,N110,0),NA())</f>
        <v>0.2306666666666667</v>
      </c>
      <c r="Q110" s="19">
        <f>IF(ISNUMBER(O110),IF(O110=1,N110,0),NA())</f>
        <v>0</v>
      </c>
      <c r="R110" s="19">
        <f>IF(ISNUMBER(O110),IF(O110=2,N110,0),NA())</f>
        <v>0</v>
      </c>
      <c r="S110" s="19">
        <f>IF(ISNUMBER(O110),IF(O110=3,N110,0),NA())</f>
        <v>0</v>
      </c>
      <c r="T110" s="19">
        <f>IF(ISNUMBER(O110),IF(O110=4,N110,0),NA())</f>
        <v>0</v>
      </c>
      <c r="U110" s="19">
        <f>IF(ISNUMBER(G110),MAX(0,MIN(1,(LOG10(G110)-LD_RLog0)/LD_RSpan)),NA())</f>
        <v>0.32579901435512215</v>
      </c>
      <c r="V110" s="19">
        <f>IF(ISNUMBER(H110),MAX(0,MIN(1,(LOG10(H110)-LD_RLog0)/LD_RSpan)),NA())</f>
        <v>0.21357651045027015</v>
      </c>
      <c r="W110" s="19">
        <f>IF(ISNUMBER(I110),MAX(0,MIN(1,(LOG10(I110)-LD_RLog0)/LD_RSpan)),NA())</f>
        <v>0.14278156927107788</v>
      </c>
      <c r="Y110" s="19"/>
      <c r="Z110" s="19"/>
      <c r="AA110" s="19">
        <f>MAX(0,MIN(1,(LD_Dec0+6+LOG10(2)-LD_RLog0)/LD_RSpan))</f>
        <v>1</v>
      </c>
      <c r="AB110" s="19">
        <v>-1.5</v>
      </c>
    </row>
    <row r="111">
      <c r="A111" s="0">
        <v>97</v>
      </c>
      <c r="B111" s="18">
        <f>LD_Top+(A111+0.5)*LD_Step</f>
        <v>5097.5</v>
      </c>
      <c r="C111" s="0">
        <f>IF(OR(LD_N&lt;2,B111&lt;LD_First,B111&gt;LD_Last),0,MIN(MATCH(B111,LD_Depth,1),LD_N-1))</f>
        <v>196</v>
      </c>
      <c r="D111" s="19">
        <f>IF(C111=0,0,(B111-INDEX(LD_Depth,C111))/(INDEX(LD_Depth,C111+1)-INDEX(LD_Depth,C111)))</f>
        <v>0</v>
      </c>
      <c r="E111" s="0">
        <f>IF(C111=0,NA(),IF(AND(IF(ISNUMBER(INDEX(LD_SP,C111)),INDEX(LD_SP,C111)&lt;&gt;LD_Null,FALSE),OR(D111=0,IF(ISNUMBER(INDEX(LD_SP,C111+1)),INDEX(LD_SP,C111+1)&lt;&gt;LD_Null,FALSE))),IF(D111=0,INDEX(LD_SP,C111),INDEX(LD_SP,C111)+D111*(INDEX(LD_SP,C111+1)-INDEX(LD_SP,C111))),NA()))</f>
        <v>-71.3</v>
      </c>
      <c r="F111" s="0">
        <f>IF(C111=0,NA(),IF(AND(IF(ISNUMBER(INDEX(LD_GR,C111)),INDEX(LD_GR,C111)&lt;&gt;LD_Null,FALSE),OR(D111=0,IF(ISNUMBER(INDEX(LD_GR,C111+1)),INDEX(LD_GR,C111+1)&lt;&gt;LD_Null,FALSE))),IF(D111=0,INDEX(LD_GR,C111),INDEX(LD_GR,C111)+D111*(INDEX(LD_GR,C111+1)-INDEX(LD_GR,C111))),NA()))</f>
        <v>43.2</v>
      </c>
      <c r="G111" s="0">
        <f>IF(C111=0,NA(),IF(AND(IF(ISNUMBER(INDEX(LD_RS,C111)),AND(INDEX(LD_RS,C111)&lt;&gt;LD_Null,INDEX(LD_RS,C111)&gt;0),FALSE),OR(D111=0,IF(ISNUMBER(INDEX(LD_RS,C111+1)),AND(INDEX(LD_RS,C111+1)&lt;&gt;LD_Null,INDEX(LD_RS,C111+1)&gt;0),FALSE))),IF(D111=0,INDEX(LD_RS,C111),INDEX(LD_RS,C111)+D111*(INDEX(LD_RS,C111+1)-INDEX(LD_RS,C111))),NA()))</f>
        <v>3.66</v>
      </c>
      <c r="H111" s="0">
        <f>IF(C111=0,NA(),IF(AND(IF(ISNUMBER(INDEX(LD_RM,C111)),AND(INDEX(LD_RM,C111)&lt;&gt;LD_Null,INDEX(LD_RM,C111)&gt;0),FALSE),OR(D111=0,IF(ISNUMBER(INDEX(LD_RM,C111+1)),AND(INDEX(LD_RM,C111+1)&lt;&gt;LD_Null,INDEX(LD_RM,C111+1)&gt;0),FALSE))),IF(D111=0,INDEX(LD_RM,C111),INDEX(LD_RM,C111)+D111*(INDEX(LD_RM,C111+1)-INDEX(LD_RM,C111))),NA()))</f>
        <v>1.41</v>
      </c>
      <c r="I111" s="0">
        <f>IF(C111=0,NA(),IF(AND(IF(ISNUMBER(INDEX(LD_RD,C111)),AND(INDEX(LD_RD,C111)&lt;&gt;LD_Null,INDEX(LD_RD,C111)&gt;0),FALSE),OR(D111=0,IF(ISNUMBER(INDEX(LD_RD,C111+1)),AND(INDEX(LD_RD,C111+1)&lt;&gt;LD_Null,INDEX(LD_RD,C111+1)&gt;0),FALSE))),IF(D111=0,INDEX(LD_RD,C111),INDEX(LD_RD,C111)+D111*(INDEX(LD_RD,C111+1)-INDEX(LD_RD,C111))),NA()))</f>
        <v>0.732</v>
      </c>
      <c r="J111" s="19">
        <f>IF(ISNUMBER(F111),MAX(0,MIN(1,(F111-LD_GRClean)/(LD_GRShale-LD_GRClean))),NA())</f>
        <v>0.15529411764705886</v>
      </c>
      <c r="K111" s="19">
        <f>IF(ISNUMBER(E111),(MAX(LD_SPMin,MIN(E111,LD_SPBase))-LD_SPMin)/(LD_SPMax-LD_SPMin),NA())</f>
        <v>0.28700000000000003</v>
      </c>
      <c r="L111" s="19">
        <f>IF(ISNUMBER(E111),(LD_SPBase-MAX(LD_SPMin,MIN(E111,LD_SPBase)))/(LD_SPMax-LD_SPMin),NA())</f>
        <v>0.563</v>
      </c>
      <c r="M111" s="19">
        <f>IF(ISNUMBER(E111),(MIN(LD_SPMax,MAX(E111,LD_SPBase))-LD_SPBase)/(LD_SPMax-LD_SPMin),NA())</f>
        <v>0</v>
      </c>
      <c r="N111" s="19">
        <f>IF(ISNUMBER(F111),MAX(0,MIN(1,(F111-LD_GRMin)/(LD_GRMax-LD_GRMin))),NA())</f>
        <v>0.28800000000000003</v>
      </c>
      <c r="O111" s="0">
        <f>IF(ISNUMBER(F111),(F111&gt;=LD_GRB1)+(F111&gt;=LD_GRB2)+(F111&gt;=LD_GRB3)+(F111&gt;=LD_GRB4),NA())</f>
        <v>0</v>
      </c>
      <c r="P111" s="19">
        <f>IF(ISNUMBER(O111),IF(O111=0,N111,0),NA())</f>
        <v>0.28800000000000003</v>
      </c>
      <c r="Q111" s="19">
        <f>IF(ISNUMBER(O111),IF(O111=1,N111,0),NA())</f>
        <v>0</v>
      </c>
      <c r="R111" s="19">
        <f>IF(ISNUMBER(O111),IF(O111=2,N111,0),NA())</f>
        <v>0</v>
      </c>
      <c r="S111" s="19">
        <f>IF(ISNUMBER(O111),IF(O111=3,N111,0),NA())</f>
        <v>0</v>
      </c>
      <c r="T111" s="19">
        <f>IF(ISNUMBER(O111),IF(O111=4,N111,0),NA())</f>
        <v>0</v>
      </c>
      <c r="U111" s="19">
        <f>IF(ISNUMBER(G111),MAX(0,MIN(1,(LOG10(G111)-LD_RLog0)/LD_RSpan)),NA())</f>
        <v>0.3156127724326073</v>
      </c>
      <c r="V111" s="19">
        <f>IF(ISNUMBER(H111),MAX(0,MIN(1,(LOG10(H111)-LD_RLog0)/LD_RSpan)),NA())</f>
        <v>0.21204727924784966</v>
      </c>
      <c r="W111" s="19">
        <f>IF(ISNUMBER(I111),MAX(0,MIN(1,(LOG10(I111)-LD_RLog0)/LD_RSpan)),NA())</f>
        <v>0.14087027134860264</v>
      </c>
      <c r="Y111" s="19"/>
      <c r="Z111" s="19"/>
      <c r="AA111" s="19">
        <f>MAX(0,MIN(1,(LD_Dec0+6+LOG10(2)-LD_RLog0)/LD_RSpan))</f>
        <v>1</v>
      </c>
      <c r="AB111" s="19">
        <v>120.5</v>
      </c>
    </row>
    <row r="112">
      <c r="A112" s="0">
        <v>98</v>
      </c>
      <c r="B112" s="18">
        <f>LD_Top+(A112+0.5)*LD_Step</f>
        <v>5098.5</v>
      </c>
      <c r="C112" s="0">
        <f>IF(OR(LD_N&lt;2,B112&lt;LD_First,B112&gt;LD_Last),0,MIN(MATCH(B112,LD_Depth,1),LD_N-1))</f>
        <v>198</v>
      </c>
      <c r="D112" s="19">
        <f>IF(C112=0,0,(B112-INDEX(LD_Depth,C112))/(INDEX(LD_Depth,C112+1)-INDEX(LD_Depth,C112)))</f>
        <v>0</v>
      </c>
      <c r="E112" s="0">
        <f>IF(C112=0,NA(),IF(AND(IF(ISNUMBER(INDEX(LD_SP,C112)),INDEX(LD_SP,C112)&lt;&gt;LD_Null,FALSE),OR(D112=0,IF(ISNUMBER(INDEX(LD_SP,C112+1)),INDEX(LD_SP,C112+1)&lt;&gt;LD_Null,FALSE))),IF(D112=0,INDEX(LD_SP,C112),INDEX(LD_SP,C112)+D112*(INDEX(LD_SP,C112+1)-INDEX(LD_SP,C112))),NA()))</f>
        <v>-66.3</v>
      </c>
      <c r="F112" s="0">
        <f>IF(C112=0,NA(),IF(AND(IF(ISNUMBER(INDEX(LD_GR,C112)),INDEX(LD_GR,C112)&lt;&gt;LD_Null,FALSE),OR(D112=0,IF(ISNUMBER(INDEX(LD_GR,C112+1)),INDEX(LD_GR,C112+1)&lt;&gt;LD_Null,FALSE))),IF(D112=0,INDEX(LD_GR,C112),INDEX(LD_GR,C112)+D112*(INDEX(LD_GR,C112+1)-INDEX(LD_GR,C112))),NA()))</f>
        <v>46.1</v>
      </c>
      <c r="G112" s="0">
        <f>IF(C112=0,NA(),IF(AND(IF(ISNUMBER(INDEX(LD_RS,C112)),AND(INDEX(LD_RS,C112)&lt;&gt;LD_Null,INDEX(LD_RS,C112)&gt;0),FALSE),OR(D112=0,IF(ISNUMBER(INDEX(LD_RS,C112+1)),AND(INDEX(LD_RS,C112+1)&lt;&gt;LD_Null,INDEX(LD_RS,C112+1)&gt;0),FALSE))),IF(D112=0,INDEX(LD_RS,C112),INDEX(LD_RS,C112)+D112*(INDEX(LD_RS,C112+1)-INDEX(LD_RS,C112))),NA()))</f>
        <v>3.24</v>
      </c>
      <c r="H112" s="0">
        <f>IF(C112=0,NA(),IF(AND(IF(ISNUMBER(INDEX(LD_RM,C112)),AND(INDEX(LD_RM,C112)&lt;&gt;LD_Null,INDEX(LD_RM,C112)&gt;0),FALSE),OR(D112=0,IF(ISNUMBER(INDEX(LD_RM,C112+1)),AND(INDEX(LD_RM,C112+1)&lt;&gt;LD_Null,INDEX(LD_RM,C112+1)&gt;0),FALSE))),IF(D112=0,INDEX(LD_RM,C112),INDEX(LD_RM,C112)+D112*(INDEX(LD_RM,C112+1)-INDEX(LD_RM,C112))),NA()))</f>
        <v>1.4</v>
      </c>
      <c r="I112" s="0">
        <f>IF(C112=0,NA(),IF(AND(IF(ISNUMBER(INDEX(LD_RD,C112)),AND(INDEX(LD_RD,C112)&lt;&gt;LD_Null,INDEX(LD_RD,C112)&gt;0),FALSE),OR(D112=0,IF(ISNUMBER(INDEX(LD_RD,C112+1)),AND(INDEX(LD_RD,C112+1)&lt;&gt;LD_Null,INDEX(LD_RD,C112+1)&gt;0),FALSE))),IF(D112=0,INDEX(LD_RD,C112),INDEX(LD_RD,C112)+D112*(INDEX(LD_RD,C112+1)-INDEX(LD_RD,C112))),NA()))</f>
        <v>0.933</v>
      </c>
      <c r="J112" s="19">
        <f>IF(ISNUMBER(F112),MAX(0,MIN(1,(F112-LD_GRClean)/(LD_GRShale-LD_GRClean))),NA())</f>
        <v>0.18941176470588236</v>
      </c>
      <c r="K112" s="19">
        <f>IF(ISNUMBER(E112),(MAX(LD_SPMin,MIN(E112,LD_SPBase))-LD_SPMin)/(LD_SPMax-LD_SPMin),NA())</f>
        <v>0.337</v>
      </c>
      <c r="L112" s="19">
        <f>IF(ISNUMBER(E112),(LD_SPBase-MAX(LD_SPMin,MIN(E112,LD_SPBase)))/(LD_SPMax-LD_SPMin),NA())</f>
        <v>0.513</v>
      </c>
      <c r="M112" s="19">
        <f>IF(ISNUMBER(E112),(MIN(LD_SPMax,MAX(E112,LD_SPBase))-LD_SPBase)/(LD_SPMax-LD_SPMin),NA())</f>
        <v>0</v>
      </c>
      <c r="N112" s="19">
        <f>IF(ISNUMBER(F112),MAX(0,MIN(1,(F112-LD_GRMin)/(LD_GRMax-LD_GRMin))),NA())</f>
        <v>0.30733333333333335</v>
      </c>
      <c r="O112" s="0">
        <f>IF(ISNUMBER(F112),(F112&gt;=LD_GRB1)+(F112&gt;=LD_GRB2)+(F112&gt;=LD_GRB3)+(F112&gt;=LD_GRB4),NA())</f>
        <v>1</v>
      </c>
      <c r="P112" s="19">
        <f>IF(ISNUMBER(O112),IF(O112=0,N112,0),NA())</f>
        <v>0</v>
      </c>
      <c r="Q112" s="19">
        <f>IF(ISNUMBER(O112),IF(O112=1,N112,0),NA())</f>
        <v>0.30733333333333335</v>
      </c>
      <c r="R112" s="19">
        <f>IF(ISNUMBER(O112),IF(O112=2,N112,0),NA())</f>
        <v>0</v>
      </c>
      <c r="S112" s="19">
        <f>IF(ISNUMBER(O112),IF(O112=3,N112,0),NA())</f>
        <v>0</v>
      </c>
      <c r="T112" s="19">
        <f>IF(ISNUMBER(O112),IF(O112=4,N112,0),NA())</f>
        <v>0</v>
      </c>
      <c r="U112" s="19">
        <f>IF(ISNUMBER(G112),MAX(0,MIN(1,(LOG10(G112)-LD_RLog0)/LD_RSpan)),NA())</f>
        <v>0.3023787536356577</v>
      </c>
      <c r="V112" s="19">
        <f>IF(ISNUMBER(H112),MAX(0,MIN(1,(LOG10(H112)-LD_RLog0)/LD_RSpan)),NA())</f>
        <v>0.21127451000356418</v>
      </c>
      <c r="W112" s="19">
        <f>IF(ISNUMBER(I112),MAX(0,MIN(1,(LOG10(I112)-LD_RLog0)/LD_RSpan)),NA())</f>
        <v>0.16721291202062968</v>
      </c>
      <c r="Y112" s="19"/>
      <c r="Z112" s="19"/>
      <c r="AA112" s="19">
        <f>MAX(0,MIN(1,(LD_Dec0+6+LOG10(3)-LD_RLog0)/LD_RSpan))</f>
        <v>1</v>
      </c>
      <c r="AB112" s="19">
        <v>120.5</v>
      </c>
    </row>
    <row r="113">
      <c r="A113" s="0">
        <v>99</v>
      </c>
      <c r="B113" s="18">
        <f>LD_Top+(A113+0.5)*LD_Step</f>
        <v>5099.5</v>
      </c>
      <c r="C113" s="0">
        <f>IF(OR(LD_N&lt;2,B113&lt;LD_First,B113&gt;LD_Last),0,MIN(MATCH(B113,LD_Depth,1),LD_N-1))</f>
        <v>200</v>
      </c>
      <c r="D113" s="19">
        <f>IF(C113=0,0,(B113-INDEX(LD_Depth,C113))/(INDEX(LD_Depth,C113+1)-INDEX(LD_Depth,C113)))</f>
        <v>0</v>
      </c>
      <c r="E113" s="0">
        <f>IF(C113=0,NA(),IF(AND(IF(ISNUMBER(INDEX(LD_SP,C113)),INDEX(LD_SP,C113)&lt;&gt;LD_Null,FALSE),OR(D113=0,IF(ISNUMBER(INDEX(LD_SP,C113+1)),INDEX(LD_SP,C113+1)&lt;&gt;LD_Null,FALSE))),IF(D113=0,INDEX(LD_SP,C113),INDEX(LD_SP,C113)+D113*(INDEX(LD_SP,C113+1)-INDEX(LD_SP,C113))),NA()))</f>
        <v>-54</v>
      </c>
      <c r="F113" s="0">
        <f>IF(C113=0,NA(),IF(AND(IF(ISNUMBER(INDEX(LD_GR,C113)),INDEX(LD_GR,C113)&lt;&gt;LD_Null,FALSE),OR(D113=0,IF(ISNUMBER(INDEX(LD_GR,C113+1)),INDEX(LD_GR,C113+1)&lt;&gt;LD_Null,FALSE))),IF(D113=0,INDEX(LD_GR,C113),INDEX(LD_GR,C113)+D113*(INDEX(LD_GR,C113+1)-INDEX(LD_GR,C113))),NA()))</f>
        <v>60.3</v>
      </c>
      <c r="G113" s="0">
        <f>IF(C113=0,NA(),IF(AND(IF(ISNUMBER(INDEX(LD_RS,C113)),AND(INDEX(LD_RS,C113)&lt;&gt;LD_Null,INDEX(LD_RS,C113)&gt;0),FALSE),OR(D113=0,IF(ISNUMBER(INDEX(LD_RS,C113+1)),AND(INDEX(LD_RS,C113+1)&lt;&gt;LD_Null,INDEX(LD_RS,C113+1)&gt;0),FALSE))),IF(D113=0,INDEX(LD_RS,C113),INDEX(LD_RS,C113)+D113*(INDEX(LD_RS,C113+1)-INDEX(LD_RS,C113))),NA()))</f>
        <v>3.21</v>
      </c>
      <c r="H113" s="0">
        <f>IF(C113=0,NA(),IF(AND(IF(ISNUMBER(INDEX(LD_RM,C113)),AND(INDEX(LD_RM,C113)&lt;&gt;LD_Null,INDEX(LD_RM,C113)&gt;0),FALSE),OR(D113=0,IF(ISNUMBER(INDEX(LD_RM,C113+1)),AND(INDEX(LD_RM,C113+1)&lt;&gt;LD_Null,INDEX(LD_RM,C113+1)&gt;0),FALSE))),IF(D113=0,INDEX(LD_RM,C113),INDEX(LD_RM,C113)+D113*(INDEX(LD_RM,C113+1)-INDEX(LD_RM,C113))),NA()))</f>
        <v>1.75</v>
      </c>
      <c r="I113" s="0">
        <f>IF(C113=0,NA(),IF(AND(IF(ISNUMBER(INDEX(LD_RD,C113)),AND(INDEX(LD_RD,C113)&lt;&gt;LD_Null,INDEX(LD_RD,C113)&gt;0),FALSE),OR(D113=0,IF(ISNUMBER(INDEX(LD_RD,C113+1)),AND(INDEX(LD_RD,C113+1)&lt;&gt;LD_Null,INDEX(LD_RD,C113+1)&gt;0),FALSE))),IF(D113=0,INDEX(LD_RD,C113),INDEX(LD_RD,C113)+D113*(INDEX(LD_RD,C113+1)-INDEX(LD_RD,C113))),NA()))</f>
        <v>1.13</v>
      </c>
      <c r="J113" s="19">
        <f>IF(ISNUMBER(F113),MAX(0,MIN(1,(F113-LD_GRClean)/(LD_GRShale-LD_GRClean))),NA())</f>
        <v>0.3564705882352941</v>
      </c>
      <c r="K113" s="19">
        <f>IF(ISNUMBER(E113),(MAX(LD_SPMin,MIN(E113,LD_SPBase))-LD_SPMin)/(LD_SPMax-LD_SPMin),NA())</f>
        <v>0.46</v>
      </c>
      <c r="L113" s="19">
        <f>IF(ISNUMBER(E113),(LD_SPBase-MAX(LD_SPMin,MIN(E113,LD_SPBase)))/(LD_SPMax-LD_SPMin),NA())</f>
        <v>0.39</v>
      </c>
      <c r="M113" s="19">
        <f>IF(ISNUMBER(E113),(MIN(LD_SPMax,MAX(E113,LD_SPBase))-LD_SPBase)/(LD_SPMax-LD_SPMin),NA())</f>
        <v>0</v>
      </c>
      <c r="N113" s="19">
        <f>IF(ISNUMBER(F113),MAX(0,MIN(1,(F113-LD_GRMin)/(LD_GRMax-LD_GRMin))),NA())</f>
        <v>0.40199999999999997</v>
      </c>
      <c r="O113" s="0">
        <f>IF(ISNUMBER(F113),(F113&gt;=LD_GRB1)+(F113&gt;=LD_GRB2)+(F113&gt;=LD_GRB3)+(F113&gt;=LD_GRB4),NA())</f>
        <v>1</v>
      </c>
      <c r="P113" s="19">
        <f>IF(ISNUMBER(O113),IF(O113=0,N113,0),NA())</f>
        <v>0</v>
      </c>
      <c r="Q113" s="19">
        <f>IF(ISNUMBER(O113),IF(O113=1,N113,0),NA())</f>
        <v>0.40199999999999997</v>
      </c>
      <c r="R113" s="19">
        <f>IF(ISNUMBER(O113),IF(O113=2,N113,0),NA())</f>
        <v>0</v>
      </c>
      <c r="S113" s="19">
        <f>IF(ISNUMBER(O113),IF(O113=3,N113,0),NA())</f>
        <v>0</v>
      </c>
      <c r="T113" s="19">
        <f>IF(ISNUMBER(O113),IF(O113=4,N113,0),NA())</f>
        <v>0</v>
      </c>
      <c r="U113" s="19">
        <f>IF(ISNUMBER(G113),MAX(0,MIN(1,(LOG10(G113)-LD_RLog0)/LD_RSpan)),NA())</f>
        <v>0.3013687591852227</v>
      </c>
      <c r="V113" s="19">
        <f>IF(ISNUMBER(H113),MAX(0,MIN(1,(LOG10(H113)-LD_RLog0)/LD_RSpan)),NA())</f>
        <v>0.2355020132555783</v>
      </c>
      <c r="W113" s="19">
        <f>IF(ISNUMBER(I113),MAX(0,MIN(1,(LOG10(I113)-LD_RLog0)/LD_RSpan)),NA())</f>
        <v>0.18801211195485962</v>
      </c>
      <c r="Y113" s="19"/>
      <c r="Z113" s="19"/>
      <c r="AA113" s="19">
        <f>MAX(0,MIN(1,(LD_Dec0+6+LOG10(3)-LD_RLog0)/LD_RSpan))</f>
        <v>1</v>
      </c>
      <c r="AB113" s="19">
        <v>-1.5</v>
      </c>
    </row>
    <row r="114">
      <c r="A114" s="0">
        <v>100</v>
      </c>
      <c r="B114" s="18">
        <f>LD_Top+(A114+0.5)*LD_Step</f>
        <v>5100.5</v>
      </c>
      <c r="C114" s="0">
        <f>IF(OR(LD_N&lt;2,B114&lt;LD_First,B114&gt;LD_Last),0,MIN(MATCH(B114,LD_Depth,1),LD_N-1))</f>
        <v>202</v>
      </c>
      <c r="D114" s="19">
        <f>IF(C114=0,0,(B114-INDEX(LD_Depth,C114))/(INDEX(LD_Depth,C114+1)-INDEX(LD_Depth,C114)))</f>
        <v>0</v>
      </c>
      <c r="E114" s="0">
        <f>IF(C114=0,NA(),IF(AND(IF(ISNUMBER(INDEX(LD_SP,C114)),INDEX(LD_SP,C114)&lt;&gt;LD_Null,FALSE),OR(D114=0,IF(ISNUMBER(INDEX(LD_SP,C114+1)),INDEX(LD_SP,C114+1)&lt;&gt;LD_Null,FALSE))),IF(D114=0,INDEX(LD_SP,C114),INDEX(LD_SP,C114)+D114*(INDEX(LD_SP,C114+1)-INDEX(LD_SP,C114))),NA()))</f>
        <v>-35.1</v>
      </c>
      <c r="F114" s="0">
        <f>IF(C114=0,NA(),IF(AND(IF(ISNUMBER(INDEX(LD_GR,C114)),INDEX(LD_GR,C114)&lt;&gt;LD_Null,FALSE),OR(D114=0,IF(ISNUMBER(INDEX(LD_GR,C114+1)),INDEX(LD_GR,C114+1)&lt;&gt;LD_Null,FALSE))),IF(D114=0,INDEX(LD_GR,C114),INDEX(LD_GR,C114)+D114*(INDEX(LD_GR,C114+1)-INDEX(LD_GR,C114))),NA()))</f>
        <v>89</v>
      </c>
      <c r="G114" s="0">
        <f>IF(C114=0,NA(),IF(AND(IF(ISNUMBER(INDEX(LD_RS,C114)),AND(INDEX(LD_RS,C114)&lt;&gt;LD_Null,INDEX(LD_RS,C114)&gt;0),FALSE),OR(D114=0,IF(ISNUMBER(INDEX(LD_RS,C114+1)),AND(INDEX(LD_RS,C114+1)&lt;&gt;LD_Null,INDEX(LD_RS,C114+1)&gt;0),FALSE))),IF(D114=0,INDEX(LD_RS,C114),INDEX(LD_RS,C114)+D114*(INDEX(LD_RS,C114+1)-INDEX(LD_RS,C114))),NA()))</f>
        <v>2.58</v>
      </c>
      <c r="H114" s="0">
        <f>IF(C114=0,NA(),IF(AND(IF(ISNUMBER(INDEX(LD_RM,C114)),AND(INDEX(LD_RM,C114)&lt;&gt;LD_Null,INDEX(LD_RM,C114)&gt;0),FALSE),OR(D114=0,IF(ISNUMBER(INDEX(LD_RM,C114+1)),AND(INDEX(LD_RM,C114+1)&lt;&gt;LD_Null,INDEX(LD_RM,C114+1)&gt;0),FALSE))),IF(D114=0,INDEX(LD_RM,C114),INDEX(LD_RM,C114)+D114*(INDEX(LD_RM,C114+1)-INDEX(LD_RM,C114))),NA()))</f>
        <v>1.93</v>
      </c>
      <c r="I114" s="0">
        <f>IF(C114=0,NA(),IF(AND(IF(ISNUMBER(INDEX(LD_RD,C114)),AND(INDEX(LD_RD,C114)&lt;&gt;LD_Null,INDEX(LD_RD,C114)&gt;0),FALSE),OR(D114=0,IF(ISNUMBER(INDEX(LD_RD,C114+1)),AND(INDEX(LD_RD,C114+1)&lt;&gt;LD_Null,INDEX(LD_RD,C114+1)&gt;0),FALSE))),IF(D114=0,INDEX(LD_RD,C114),INDEX(LD_RD,C114)+D114*(INDEX(LD_RD,C114+1)-INDEX(LD_RD,C114))),NA()))</f>
        <v>1.59</v>
      </c>
      <c r="J114" s="19">
        <f>IF(ISNUMBER(F114),MAX(0,MIN(1,(F114-LD_GRClean)/(LD_GRShale-LD_GRClean))),NA())</f>
        <v>0.6941176470588235</v>
      </c>
      <c r="K114" s="19">
        <f>IF(ISNUMBER(E114),(MAX(LD_SPMin,MIN(E114,LD_SPBase))-LD_SPMin)/(LD_SPMax-LD_SPMin),NA())</f>
        <v>0.649</v>
      </c>
      <c r="L114" s="19">
        <f>IF(ISNUMBER(E114),(LD_SPBase-MAX(LD_SPMin,MIN(E114,LD_SPBase)))/(LD_SPMax-LD_SPMin),NA())</f>
        <v>0.201</v>
      </c>
      <c r="M114" s="19">
        <f>IF(ISNUMBER(E114),(MIN(LD_SPMax,MAX(E114,LD_SPBase))-LD_SPBase)/(LD_SPMax-LD_SPMin),NA())</f>
        <v>0</v>
      </c>
      <c r="N114" s="19">
        <f>IF(ISNUMBER(F114),MAX(0,MIN(1,(F114-LD_GRMin)/(LD_GRMax-LD_GRMin))),NA())</f>
        <v>0.5933333333333334</v>
      </c>
      <c r="O114" s="0">
        <f>IF(ISNUMBER(F114),(F114&gt;=LD_GRB1)+(F114&gt;=LD_GRB2)+(F114&gt;=LD_GRB3)+(F114&gt;=LD_GRB4),NA())</f>
        <v>3</v>
      </c>
      <c r="P114" s="19">
        <f>IF(ISNUMBER(O114),IF(O114=0,N114,0),NA())</f>
        <v>0</v>
      </c>
      <c r="Q114" s="19">
        <f>IF(ISNUMBER(O114),IF(O114=1,N114,0),NA())</f>
        <v>0</v>
      </c>
      <c r="R114" s="19">
        <f>IF(ISNUMBER(O114),IF(O114=2,N114,0),NA())</f>
        <v>0</v>
      </c>
      <c r="S114" s="19">
        <f>IF(ISNUMBER(O114),IF(O114=3,N114,0),NA())</f>
        <v>0.5933333333333334</v>
      </c>
      <c r="T114" s="19">
        <f>IF(ISNUMBER(O114),IF(O114=4,N114,0),NA())</f>
        <v>0</v>
      </c>
      <c r="U114" s="19">
        <f>IF(ISNUMBER(G114),MAX(0,MIN(1,(LOG10(G114)-LD_RLog0)/LD_RSpan)),NA())</f>
        <v>0.2776474275748122</v>
      </c>
      <c r="V114" s="19">
        <f>IF(ISNUMBER(H114),MAX(0,MIN(1,(LOG10(H114)-LD_RLog0)/LD_RSpan)),NA())</f>
        <v>0.2461318283359481</v>
      </c>
      <c r="W114" s="19">
        <f>IF(ISNUMBER(I114),MAX(0,MIN(1,(LOG10(I114)-LD_RLog0)/LD_RSpan)),NA())</f>
        <v>0.22509178216411757</v>
      </c>
      <c r="Y114" s="19"/>
      <c r="Z114" s="19"/>
      <c r="AA114" s="19">
        <f>MAX(0,MIN(1,(LD_Dec0+6+LOG10(4)-LD_RLog0)/LD_RSpan))</f>
        <v>1</v>
      </c>
      <c r="AB114" s="19">
        <v>-1.5</v>
      </c>
    </row>
    <row r="115">
      <c r="A115" s="0">
        <v>101</v>
      </c>
      <c r="B115" s="18">
        <f>LD_Top+(A115+0.5)*LD_Step</f>
        <v>5101.5</v>
      </c>
      <c r="C115" s="0">
        <f>IF(OR(LD_N&lt;2,B115&lt;LD_First,B115&gt;LD_Last),0,MIN(MATCH(B115,LD_Depth,1),LD_N-1))</f>
        <v>204</v>
      </c>
      <c r="D115" s="19">
        <f>IF(C115=0,0,(B115-INDEX(LD_Depth,C115))/(INDEX(LD_Depth,C115+1)-INDEX(LD_Depth,C115)))</f>
        <v>0</v>
      </c>
      <c r="E115" s="0">
        <f>IF(C115=0,NA(),IF(AND(IF(ISNUMBER(INDEX(LD_SP,C115)),INDEX(LD_SP,C115)&lt;&gt;LD_Null,FALSE),OR(D115=0,IF(ISNUMBER(INDEX(LD_SP,C115+1)),INDEX(LD_SP,C115+1)&lt;&gt;LD_Null,FALSE))),IF(D115=0,INDEX(LD_SP,C115),INDEX(LD_SP,C115)+D115*(INDEX(LD_SP,C115+1)-INDEX(LD_SP,C115))),NA()))</f>
        <v>-22.1</v>
      </c>
      <c r="F115" s="0">
        <f>IF(C115=0,NA(),IF(AND(IF(ISNUMBER(INDEX(LD_GR,C115)),INDEX(LD_GR,C115)&lt;&gt;LD_Null,FALSE),OR(D115=0,IF(ISNUMBER(INDEX(LD_GR,C115+1)),INDEX(LD_GR,C115+1)&lt;&gt;LD_Null,FALSE))),IF(D115=0,INDEX(LD_GR,C115),INDEX(LD_GR,C115)+D115*(INDEX(LD_GR,C115+1)-INDEX(LD_GR,C115))),NA()))</f>
        <v>107.1</v>
      </c>
      <c r="G115" s="0">
        <f>IF(C115=0,NA(),IF(AND(IF(ISNUMBER(INDEX(LD_RS,C115)),AND(INDEX(LD_RS,C115)&lt;&gt;LD_Null,INDEX(LD_RS,C115)&gt;0),FALSE),OR(D115=0,IF(ISNUMBER(INDEX(LD_RS,C115+1)),AND(INDEX(LD_RS,C115+1)&lt;&gt;LD_Null,INDEX(LD_RS,C115+1)&gt;0),FALSE))),IF(D115=0,INDEX(LD_RS,C115),INDEX(LD_RS,C115)+D115*(INDEX(LD_RS,C115+1)-INDEX(LD_RS,C115))),NA()))</f>
        <v>2.06</v>
      </c>
      <c r="H115" s="0">
        <f>IF(C115=0,NA(),IF(AND(IF(ISNUMBER(INDEX(LD_RM,C115)),AND(INDEX(LD_RM,C115)&lt;&gt;LD_Null,INDEX(LD_RM,C115)&gt;0),FALSE),OR(D115=0,IF(ISNUMBER(INDEX(LD_RM,C115+1)),AND(INDEX(LD_RM,C115+1)&lt;&gt;LD_Null,INDEX(LD_RM,C115+1)&gt;0),FALSE))),IF(D115=0,INDEX(LD_RM,C115),INDEX(LD_RM,C115)+D115*(INDEX(LD_RM,C115+1)-INDEX(LD_RM,C115))),NA()))</f>
        <v>1.92</v>
      </c>
      <c r="I115" s="0">
        <f>IF(C115=0,NA(),IF(AND(IF(ISNUMBER(INDEX(LD_RD,C115)),AND(INDEX(LD_RD,C115)&lt;&gt;LD_Null,INDEX(LD_RD,C115)&gt;0),FALSE),OR(D115=0,IF(ISNUMBER(INDEX(LD_RD,C115+1)),AND(INDEX(LD_RD,C115+1)&lt;&gt;LD_Null,INDEX(LD_RD,C115+1)&gt;0),FALSE))),IF(D115=0,INDEX(LD_RD,C115),INDEX(LD_RD,C115)+D115*(INDEX(LD_RD,C115+1)-INDEX(LD_RD,C115))),NA()))</f>
        <v>1.96</v>
      </c>
      <c r="J115" s="19">
        <f>IF(ISNUMBER(F115),MAX(0,MIN(1,(F115-LD_GRClean)/(LD_GRShale-LD_GRClean))),NA())</f>
        <v>0.9070588235294117</v>
      </c>
      <c r="K115" s="19">
        <f>IF(ISNUMBER(E115),(MAX(LD_SPMin,MIN(E115,LD_SPBase))-LD_SPMin)/(LD_SPMax-LD_SPMin),NA())</f>
        <v>0.779</v>
      </c>
      <c r="L115" s="19">
        <f>IF(ISNUMBER(E115),(LD_SPBase-MAX(LD_SPMin,MIN(E115,LD_SPBase)))/(LD_SPMax-LD_SPMin),NA())</f>
        <v>0.07100000000000001</v>
      </c>
      <c r="M115" s="19">
        <f>IF(ISNUMBER(E115),(MIN(LD_SPMax,MAX(E115,LD_SPBase))-LD_SPBase)/(LD_SPMax-LD_SPMin),NA())</f>
        <v>0</v>
      </c>
      <c r="N115" s="19">
        <f>IF(ISNUMBER(F115),MAX(0,MIN(1,(F115-LD_GRMin)/(LD_GRMax-LD_GRMin))),NA())</f>
        <v>0.714</v>
      </c>
      <c r="O115" s="0">
        <f>IF(ISNUMBER(F115),(F115&gt;=LD_GRB1)+(F115&gt;=LD_GRB2)+(F115&gt;=LD_GRB3)+(F115&gt;=LD_GRB4),NA())</f>
        <v>4</v>
      </c>
      <c r="P115" s="19">
        <f>IF(ISNUMBER(O115),IF(O115=0,N115,0),NA())</f>
        <v>0</v>
      </c>
      <c r="Q115" s="19">
        <f>IF(ISNUMBER(O115),IF(O115=1,N115,0),NA())</f>
        <v>0</v>
      </c>
      <c r="R115" s="19">
        <f>IF(ISNUMBER(O115),IF(O115=2,N115,0),NA())</f>
        <v>0</v>
      </c>
      <c r="S115" s="19">
        <f>IF(ISNUMBER(O115),IF(O115=3,N115,0),NA())</f>
        <v>0</v>
      </c>
      <c r="T115" s="19">
        <f>IF(ISNUMBER(O115),IF(O115=4,N115,0),NA())</f>
        <v>0.714</v>
      </c>
      <c r="U115" s="19">
        <f>IF(ISNUMBER(G115),MAX(0,MIN(1,(LOG10(G115)-LD_RLog0)/LD_RSpan)),NA())</f>
        <v>0.25320930617629306</v>
      </c>
      <c r="V115" s="19">
        <f>IF(ISNUMBER(H115),MAX(0,MIN(1,(LOG10(H115)-LD_RLog0)/LD_RSpan)),NA())</f>
        <v>0.24556780825989208</v>
      </c>
      <c r="W115" s="19">
        <f>IF(ISNUMBER(I115),MAX(0,MIN(1,(LOG10(I115)-LD_RLog0)/LD_RSpan)),NA())</f>
        <v>0.2478065189231237</v>
      </c>
      <c r="Y115" s="19"/>
      <c r="Z115" s="19"/>
      <c r="AA115" s="19">
        <f>MAX(0,MIN(1,(LD_Dec0+6+LOG10(4)-LD_RLog0)/LD_RSpan))</f>
        <v>1</v>
      </c>
      <c r="AB115" s="19">
        <v>120.5</v>
      </c>
    </row>
    <row r="116">
      <c r="A116" s="0">
        <v>102</v>
      </c>
      <c r="B116" s="18">
        <f>LD_Top+(A116+0.5)*LD_Step</f>
        <v>5102.5</v>
      </c>
      <c r="C116" s="0">
        <f>IF(OR(LD_N&lt;2,B116&lt;LD_First,B116&gt;LD_Last),0,MIN(MATCH(B116,LD_Depth,1),LD_N-1))</f>
        <v>206</v>
      </c>
      <c r="D116" s="19">
        <f>IF(C116=0,0,(B116-INDEX(LD_Depth,C116))/(INDEX(LD_Depth,C116+1)-INDEX(LD_Depth,C116)))</f>
        <v>0</v>
      </c>
      <c r="E116" s="0">
        <f>IF(C116=0,NA(),IF(AND(IF(ISNUMBER(INDEX(LD_SP,C116)),INDEX(LD_SP,C116)&lt;&gt;LD_Null,FALSE),OR(D116=0,IF(ISNUMBER(INDEX(LD_SP,C116+1)),INDEX(LD_SP,C116+1)&lt;&gt;LD_Null,FALSE))),IF(D116=0,INDEX(LD_SP,C116),INDEX(LD_SP,C116)+D116*(INDEX(LD_SP,C116+1)-INDEX(LD_SP,C116))),NA()))</f>
        <v>-18.6</v>
      </c>
      <c r="F116" s="0">
        <f>IF(C116=0,NA(),IF(AND(IF(ISNUMBER(INDEX(LD_GR,C116)),INDEX(LD_GR,C116)&lt;&gt;LD_Null,FALSE),OR(D116=0,IF(ISNUMBER(INDEX(LD_GR,C116+1)),INDEX(LD_GR,C116+1)&lt;&gt;LD_Null,FALSE))),IF(D116=0,INDEX(LD_GR,C116),INDEX(LD_GR,C116)+D116*(INDEX(LD_GR,C116+1)-INDEX(LD_GR,C116))),NA()))</f>
        <v>108.9</v>
      </c>
      <c r="G116" s="0">
        <f>IF(C116=0,NA(),IF(AND(IF(ISNUMBER(INDEX(LD_RS,C116)),AND(INDEX(LD_RS,C116)&lt;&gt;LD_Null,INDEX(LD_RS,C116)&gt;0),FALSE),OR(D116=0,IF(ISNUMBER(INDEX(LD_RS,C116+1)),AND(INDEX(LD_RS,C116+1)&lt;&gt;LD_Null,INDEX(LD_RS,C116+1)&gt;0),FALSE))),IF(D116=0,INDEX(LD_RS,C116),INDEX(LD_RS,C116)+D116*(INDEX(LD_RS,C116+1)-INDEX(LD_RS,C116))),NA()))</f>
        <v>2.06</v>
      </c>
      <c r="H116" s="0">
        <f>IF(C116=0,NA(),IF(AND(IF(ISNUMBER(INDEX(LD_RM,C116)),AND(INDEX(LD_RM,C116)&lt;&gt;LD_Null,INDEX(LD_RM,C116)&gt;0),FALSE),OR(D116=0,IF(ISNUMBER(INDEX(LD_RM,C116+1)),AND(INDEX(LD_RM,C116+1)&lt;&gt;LD_Null,INDEX(LD_RM,C116+1)&gt;0),FALSE))),IF(D116=0,INDEX(LD_RM,C116),INDEX(LD_RM,C116)+D116*(INDEX(LD_RM,C116+1)-INDEX(LD_RM,C116))),NA()))</f>
        <v>2.14</v>
      </c>
      <c r="I116" s="0">
        <f>IF(C116=0,NA(),IF(AND(IF(ISNUMBER(INDEX(LD_RD,C116)),AND(INDEX(LD_RD,C116)&lt;&gt;LD_Null,INDEX(LD_RD,C116)&gt;0),FALSE),OR(D116=0,IF(ISNUMBER(INDEX(LD_RD,C116+1)),AND(INDEX(LD_RD,C116+1)&lt;&gt;LD_Null,INDEX(LD_RD,C116+1)&gt;0),FALSE))),IF(D116=0,INDEX(LD_RD,C116),INDEX(LD_RD,C116)+D116*(INDEX(LD_RD,C116+1)-INDEX(LD_RD,C116))),NA()))</f>
        <v>2.35</v>
      </c>
      <c r="J116" s="19">
        <f>IF(ISNUMBER(F116),MAX(0,MIN(1,(F116-LD_GRClean)/(LD_GRShale-LD_GRClean))),NA())</f>
        <v>0.9282352941176472</v>
      </c>
      <c r="K116" s="19">
        <f>IF(ISNUMBER(E116),(MAX(LD_SPMin,MIN(E116,LD_SPBase))-LD_SPMin)/(LD_SPMax-LD_SPMin),NA())</f>
        <v>0.8140000000000001</v>
      </c>
      <c r="L116" s="19">
        <f>IF(ISNUMBER(E116),(LD_SPBase-MAX(LD_SPMin,MIN(E116,LD_SPBase)))/(LD_SPMax-LD_SPMin),NA())</f>
        <v>0.03600000000000001</v>
      </c>
      <c r="M116" s="19">
        <f>IF(ISNUMBER(E116),(MIN(LD_SPMax,MAX(E116,LD_SPBase))-LD_SPBase)/(LD_SPMax-LD_SPMin),NA())</f>
        <v>0</v>
      </c>
      <c r="N116" s="19">
        <f>IF(ISNUMBER(F116),MAX(0,MIN(1,(F116-LD_GRMin)/(LD_GRMax-LD_GRMin))),NA())</f>
        <v>0.7260000000000001</v>
      </c>
      <c r="O116" s="0">
        <f>IF(ISNUMBER(F116),(F116&gt;=LD_GRB1)+(F116&gt;=LD_GRB2)+(F116&gt;=LD_GRB3)+(F116&gt;=LD_GRB4),NA())</f>
        <v>4</v>
      </c>
      <c r="P116" s="19">
        <f>IF(ISNUMBER(O116),IF(O116=0,N116,0),NA())</f>
        <v>0</v>
      </c>
      <c r="Q116" s="19">
        <f>IF(ISNUMBER(O116),IF(O116=1,N116,0),NA())</f>
        <v>0</v>
      </c>
      <c r="R116" s="19">
        <f>IF(ISNUMBER(O116),IF(O116=2,N116,0),NA())</f>
        <v>0</v>
      </c>
      <c r="S116" s="19">
        <f>IF(ISNUMBER(O116),IF(O116=3,N116,0),NA())</f>
        <v>0</v>
      </c>
      <c r="T116" s="19">
        <f>IF(ISNUMBER(O116),IF(O116=4,N116,0),NA())</f>
        <v>0.7260000000000001</v>
      </c>
      <c r="U116" s="19">
        <f>IF(ISNUMBER(G116),MAX(0,MIN(1,(LOG10(G116)-LD_RLog0)/LD_RSpan)),NA())</f>
        <v>0.25320930617629306</v>
      </c>
      <c r="V116" s="19">
        <f>IF(ISNUMBER(H116),MAX(0,MIN(1,(LOG10(H116)-LD_RLog0)/LD_RSpan)),NA())</f>
        <v>0.25734594442130243</v>
      </c>
      <c r="W116" s="19">
        <f>IF(ISNUMBER(I116),MAX(0,MIN(1,(LOG10(I116)-LD_RLog0)/LD_RSpan)),NA())</f>
        <v>0.26750946665193875</v>
      </c>
      <c r="Y116" s="19"/>
      <c r="Z116" s="19"/>
      <c r="AA116" s="19">
        <f>MAX(0,MIN(1,(LD_Dec0+6+LOG10(5)-LD_RLog0)/LD_RSpan))</f>
        <v>1</v>
      </c>
      <c r="AB116" s="19">
        <v>120.5</v>
      </c>
    </row>
    <row r="117">
      <c r="A117" s="0">
        <v>103</v>
      </c>
      <c r="B117" s="18">
        <f>LD_Top+(A117+0.5)*LD_Step</f>
        <v>5103.5</v>
      </c>
      <c r="C117" s="0">
        <f>IF(OR(LD_N&lt;2,B117&lt;LD_First,B117&gt;LD_Last),0,MIN(MATCH(B117,LD_Depth,1),LD_N-1))</f>
        <v>208</v>
      </c>
      <c r="D117" s="19">
        <f>IF(C117=0,0,(B117-INDEX(LD_Depth,C117))/(INDEX(LD_Depth,C117+1)-INDEX(LD_Depth,C117)))</f>
        <v>0</v>
      </c>
      <c r="E117" s="0">
        <f>IF(C117=0,NA(),IF(AND(IF(ISNUMBER(INDEX(LD_SP,C117)),INDEX(LD_SP,C117)&lt;&gt;LD_Null,FALSE),OR(D117=0,IF(ISNUMBER(INDEX(LD_SP,C117+1)),INDEX(LD_SP,C117+1)&lt;&gt;LD_Null,FALSE))),IF(D117=0,INDEX(LD_SP,C117),INDEX(LD_SP,C117)+D117*(INDEX(LD_SP,C117+1)-INDEX(LD_SP,C117))),NA()))</f>
        <v>-15.8</v>
      </c>
      <c r="F117" s="0">
        <f>IF(C117=0,NA(),IF(AND(IF(ISNUMBER(INDEX(LD_GR,C117)),INDEX(LD_GR,C117)&lt;&gt;LD_Null,FALSE),OR(D117=0,IF(ISNUMBER(INDEX(LD_GR,C117+1)),INDEX(LD_GR,C117+1)&lt;&gt;LD_Null,FALSE))),IF(D117=0,INDEX(LD_GR,C117),INDEX(LD_GR,C117)+D117*(INDEX(LD_GR,C117+1)-INDEX(LD_GR,C117))),NA()))</f>
        <v>113.6</v>
      </c>
      <c r="G117" s="0">
        <f>IF(C117=0,NA(),IF(AND(IF(ISNUMBER(INDEX(LD_RS,C117)),AND(INDEX(LD_RS,C117)&lt;&gt;LD_Null,INDEX(LD_RS,C117)&gt;0),FALSE),OR(D117=0,IF(ISNUMBER(INDEX(LD_RS,C117+1)),AND(INDEX(LD_RS,C117+1)&lt;&gt;LD_Null,INDEX(LD_RS,C117+1)&gt;0),FALSE))),IF(D117=0,INDEX(LD_RS,C117),INDEX(LD_RS,C117)+D117*(INDEX(LD_RS,C117+1)-INDEX(LD_RS,C117))),NA()))</f>
        <v>2.07</v>
      </c>
      <c r="H117" s="0">
        <f>IF(C117=0,NA(),IF(AND(IF(ISNUMBER(INDEX(LD_RM,C117)),AND(INDEX(LD_RM,C117)&lt;&gt;LD_Null,INDEX(LD_RM,C117)&gt;0),FALSE),OR(D117=0,IF(ISNUMBER(INDEX(LD_RM,C117+1)),AND(INDEX(LD_RM,C117+1)&lt;&gt;LD_Null,INDEX(LD_RM,C117+1)&gt;0),FALSE))),IF(D117=0,INDEX(LD_RM,C117),INDEX(LD_RM,C117)+D117*(INDEX(LD_RM,C117+1)-INDEX(LD_RM,C117))),NA()))</f>
        <v>2.43</v>
      </c>
      <c r="I117" s="0">
        <f>IF(C117=0,NA(),IF(AND(IF(ISNUMBER(INDEX(LD_RD,C117)),AND(INDEX(LD_RD,C117)&lt;&gt;LD_Null,INDEX(LD_RD,C117)&gt;0),FALSE),OR(D117=0,IF(ISNUMBER(INDEX(LD_RD,C117+1)),AND(INDEX(LD_RD,C117+1)&lt;&gt;LD_Null,INDEX(LD_RD,C117+1)&gt;0),FALSE))),IF(D117=0,INDEX(LD_RD,C117),INDEX(LD_RD,C117)+D117*(INDEX(LD_RD,C117+1)-INDEX(LD_RD,C117))),NA()))</f>
        <v>2.46</v>
      </c>
      <c r="J117" s="19">
        <f>IF(ISNUMBER(F117),MAX(0,MIN(1,(F117-LD_GRClean)/(LD_GRShale-LD_GRClean))),NA())</f>
        <v>0.9835294117647058</v>
      </c>
      <c r="K117" s="19">
        <f>IF(ISNUMBER(E117),(MAX(LD_SPMin,MIN(E117,LD_SPBase))-LD_SPMin)/(LD_SPMax-LD_SPMin),NA())</f>
        <v>0.8420000000000001</v>
      </c>
      <c r="L117" s="19">
        <f>IF(ISNUMBER(E117),(LD_SPBase-MAX(LD_SPMin,MIN(E117,LD_SPBase)))/(LD_SPMax-LD_SPMin),NA())</f>
        <v>0.008000000000000007</v>
      </c>
      <c r="M117" s="19">
        <f>IF(ISNUMBER(E117),(MIN(LD_SPMax,MAX(E117,LD_SPBase))-LD_SPBase)/(LD_SPMax-LD_SPMin),NA())</f>
        <v>0</v>
      </c>
      <c r="N117" s="19">
        <f>IF(ISNUMBER(F117),MAX(0,MIN(1,(F117-LD_GRMin)/(LD_GRMax-LD_GRMin))),NA())</f>
        <v>0.7573333333333333</v>
      </c>
      <c r="O117" s="0">
        <f>IF(ISNUMBER(F117),(F117&gt;=LD_GRB1)+(F117&gt;=LD_GRB2)+(F117&gt;=LD_GRB3)+(F117&gt;=LD_GRB4),NA())</f>
        <v>4</v>
      </c>
      <c r="P117" s="19">
        <f>IF(ISNUMBER(O117),IF(O117=0,N117,0),NA())</f>
        <v>0</v>
      </c>
      <c r="Q117" s="19">
        <f>IF(ISNUMBER(O117),IF(O117=1,N117,0),NA())</f>
        <v>0</v>
      </c>
      <c r="R117" s="19">
        <f>IF(ISNUMBER(O117),IF(O117=2,N117,0),NA())</f>
        <v>0</v>
      </c>
      <c r="S117" s="19">
        <f>IF(ISNUMBER(O117),IF(O117=3,N117,0),NA())</f>
        <v>0</v>
      </c>
      <c r="T117" s="19">
        <f>IF(ISNUMBER(O117),IF(O117=4,N117,0),NA())</f>
        <v>0.7573333333333333</v>
      </c>
      <c r="U117" s="19">
        <f>IF(ISNUMBER(G117),MAX(0,MIN(1,(LOG10(G117)-LD_RLog0)/LD_RSpan)),NA())</f>
        <v>0.25373508744823414</v>
      </c>
      <c r="V117" s="19">
        <f>IF(ISNUMBER(H117),MAX(0,MIN(1,(LOG10(H117)-LD_RLog0)/LD_RSpan)),NA())</f>
        <v>0.2711440694835827</v>
      </c>
      <c r="W117" s="19">
        <f>IF(ISNUMBER(I117),MAX(0,MIN(1,(LOG10(I117)-LD_RLog0)/LD_RSpan)),NA())</f>
        <v>0.27247627785984946</v>
      </c>
      <c r="Y117" s="19"/>
      <c r="Z117" s="19"/>
      <c r="AA117" s="19">
        <f>MAX(0,MIN(1,(LD_Dec0+6+LOG10(5)-LD_RLog0)/LD_RSpan))</f>
        <v>1</v>
      </c>
      <c r="AB117" s="19">
        <v>-1.5</v>
      </c>
    </row>
    <row r="118">
      <c r="A118" s="0">
        <v>104</v>
      </c>
      <c r="B118" s="18">
        <f>LD_Top+(A118+0.5)*LD_Step</f>
        <v>5104.5</v>
      </c>
      <c r="C118" s="0">
        <f>IF(OR(LD_N&lt;2,B118&lt;LD_First,B118&gt;LD_Last),0,MIN(MATCH(B118,LD_Depth,1),LD_N-1))</f>
        <v>210</v>
      </c>
      <c r="D118" s="19">
        <f>IF(C118=0,0,(B118-INDEX(LD_Depth,C118))/(INDEX(LD_Depth,C118+1)-INDEX(LD_Depth,C118)))</f>
        <v>0</v>
      </c>
      <c r="E118" s="0">
        <f>IF(C118=0,NA(),IF(AND(IF(ISNUMBER(INDEX(LD_SP,C118)),INDEX(LD_SP,C118)&lt;&gt;LD_Null,FALSE),OR(D118=0,IF(ISNUMBER(INDEX(LD_SP,C118+1)),INDEX(LD_SP,C118+1)&lt;&gt;LD_Null,FALSE))),IF(D118=0,INDEX(LD_SP,C118),INDEX(LD_SP,C118)+D118*(INDEX(LD_SP,C118+1)-INDEX(LD_SP,C118))),NA()))</f>
        <v>-14.1</v>
      </c>
      <c r="F118" s="0">
        <f>IF(C118=0,NA(),IF(AND(IF(ISNUMBER(INDEX(LD_GR,C118)),INDEX(LD_GR,C118)&lt;&gt;LD_Null,FALSE),OR(D118=0,IF(ISNUMBER(INDEX(LD_GR,C118+1)),INDEX(LD_GR,C118+1)&lt;&gt;LD_Null,FALSE))),IF(D118=0,INDEX(LD_GR,C118),INDEX(LD_GR,C118)+D118*(INDEX(LD_GR,C118+1)-INDEX(LD_GR,C118))),NA()))</f>
        <v>116.2</v>
      </c>
      <c r="G118" s="0">
        <f>IF(C118=0,NA(),IF(AND(IF(ISNUMBER(INDEX(LD_RS,C118)),AND(INDEX(LD_RS,C118)&lt;&gt;LD_Null,INDEX(LD_RS,C118)&gt;0),FALSE),OR(D118=0,IF(ISNUMBER(INDEX(LD_RS,C118+1)),AND(INDEX(LD_RS,C118+1)&lt;&gt;LD_Null,INDEX(LD_RS,C118+1)&gt;0),FALSE))),IF(D118=0,INDEX(LD_RS,C118),INDEX(LD_RS,C118)+D118*(INDEX(LD_RS,C118+1)-INDEX(LD_RS,C118))),NA()))</f>
        <v>2.03</v>
      </c>
      <c r="H118" s="0">
        <f>IF(C118=0,NA(),IF(AND(IF(ISNUMBER(INDEX(LD_RM,C118)),AND(INDEX(LD_RM,C118)&lt;&gt;LD_Null,INDEX(LD_RM,C118)&gt;0),FALSE),OR(D118=0,IF(ISNUMBER(INDEX(LD_RM,C118+1)),AND(INDEX(LD_RM,C118+1)&lt;&gt;LD_Null,INDEX(LD_RM,C118+1)&gt;0),FALSE))),IF(D118=0,INDEX(LD_RM,C118),INDEX(LD_RM,C118)+D118*(INDEX(LD_RM,C118+1)-INDEX(LD_RM,C118))),NA()))</f>
        <v>2.05</v>
      </c>
      <c r="I118" s="0">
        <f>IF(C118=0,NA(),IF(AND(IF(ISNUMBER(INDEX(LD_RD,C118)),AND(INDEX(LD_RD,C118)&lt;&gt;LD_Null,INDEX(LD_RD,C118)&gt;0),FALSE),OR(D118=0,IF(ISNUMBER(INDEX(LD_RD,C118+1)),AND(INDEX(LD_RD,C118+1)&lt;&gt;LD_Null,INDEX(LD_RD,C118+1)&gt;0),FALSE))),IF(D118=0,INDEX(LD_RD,C118),INDEX(LD_RD,C118)+D118*(INDEX(LD_RD,C118+1)-INDEX(LD_RD,C118))),NA()))</f>
        <v>2.31</v>
      </c>
      <c r="J118" s="19">
        <f>IF(ISNUMBER(F118),MAX(0,MIN(1,(F118-LD_GRClean)/(LD_GRShale-LD_GRClean))),NA())</f>
        <v>1</v>
      </c>
      <c r="K118" s="19">
        <f>IF(ISNUMBER(E118),(MAX(LD_SPMin,MIN(E118,LD_SPBase))-LD_SPMin)/(LD_SPMax-LD_SPMin),NA())</f>
        <v>0.85</v>
      </c>
      <c r="L118" s="19">
        <f>IF(ISNUMBER(E118),(LD_SPBase-MAX(LD_SPMin,MIN(E118,LD_SPBase)))/(LD_SPMax-LD_SPMin),NA())</f>
        <v>0</v>
      </c>
      <c r="M118" s="19">
        <f>IF(ISNUMBER(E118),(MIN(LD_SPMax,MAX(E118,LD_SPBase))-LD_SPBase)/(LD_SPMax-LD_SPMin),NA())</f>
        <v>0.009000000000000003</v>
      </c>
      <c r="N118" s="19">
        <f>IF(ISNUMBER(F118),MAX(0,MIN(1,(F118-LD_GRMin)/(LD_GRMax-LD_GRMin))),NA())</f>
        <v>0.7746666666666667</v>
      </c>
      <c r="O118" s="0">
        <f>IF(ISNUMBER(F118),(F118&gt;=LD_GRB1)+(F118&gt;=LD_GRB2)+(F118&gt;=LD_GRB3)+(F118&gt;=LD_GRB4),NA())</f>
        <v>4</v>
      </c>
      <c r="P118" s="19">
        <f>IF(ISNUMBER(O118),IF(O118=0,N118,0),NA())</f>
        <v>0</v>
      </c>
      <c r="Q118" s="19">
        <f>IF(ISNUMBER(O118),IF(O118=1,N118,0),NA())</f>
        <v>0</v>
      </c>
      <c r="R118" s="19">
        <f>IF(ISNUMBER(O118),IF(O118=2,N118,0),NA())</f>
        <v>0</v>
      </c>
      <c r="S118" s="19">
        <f>IF(ISNUMBER(O118),IF(O118=3,N118,0),NA())</f>
        <v>0</v>
      </c>
      <c r="T118" s="19">
        <f>IF(ISNUMBER(O118),IF(O118=4,N118,0),NA())</f>
        <v>0.7746666666666667</v>
      </c>
      <c r="U118" s="19">
        <f>IF(ISNUMBER(G118),MAX(0,MIN(1,(LOG10(G118)-LD_RLog0)/LD_RSpan)),NA())</f>
        <v>0.25161651056230794</v>
      </c>
      <c r="V118" s="19">
        <f>IF(ISNUMBER(H118),MAX(0,MIN(1,(LOG10(H118)-LD_RLog0)/LD_RSpan)),NA())</f>
        <v>0.25268096634794324</v>
      </c>
      <c r="W118" s="19">
        <f>IF(ISNUMBER(I118),MAX(0,MIN(1,(LOG10(I118)-LD_RLog0)/LD_RSpan)),NA())</f>
        <v>0.2656454960570408</v>
      </c>
      <c r="Y118" s="19"/>
      <c r="Z118" s="19"/>
      <c r="AA118" s="19">
        <f>MAX(0,MIN(1,(LD_Dec0+6+LOG10(6)-LD_RLog0)/LD_RSpan))</f>
        <v>1</v>
      </c>
      <c r="AB118" s="19">
        <v>-1.5</v>
      </c>
    </row>
    <row r="119">
      <c r="A119" s="0">
        <v>105</v>
      </c>
      <c r="B119" s="18">
        <f>LD_Top+(A119+0.5)*LD_Step</f>
        <v>5105.5</v>
      </c>
      <c r="C119" s="0">
        <f>IF(OR(LD_N&lt;2,B119&lt;LD_First,B119&gt;LD_Last),0,MIN(MATCH(B119,LD_Depth,1),LD_N-1))</f>
        <v>212</v>
      </c>
      <c r="D119" s="19">
        <f>IF(C119=0,0,(B119-INDEX(LD_Depth,C119))/(INDEX(LD_Depth,C119+1)-INDEX(LD_Depth,C119)))</f>
        <v>0</v>
      </c>
      <c r="E119" s="0">
        <f>IF(C119=0,NA(),IF(AND(IF(ISNUMBER(INDEX(LD_SP,C119)),INDEX(LD_SP,C119)&lt;&gt;LD_Null,FALSE),OR(D119=0,IF(ISNUMBER(INDEX(LD_SP,C119+1)),INDEX(LD_SP,C119+1)&lt;&gt;LD_Null,FALSE))),IF(D119=0,INDEX(LD_SP,C119),INDEX(LD_SP,C119)+D119*(INDEX(LD_SP,C119+1)-INDEX(LD_SP,C119))),NA()))</f>
        <v>-15.4</v>
      </c>
      <c r="F119" s="0">
        <f>IF(C119=0,NA(),IF(AND(IF(ISNUMBER(INDEX(LD_GR,C119)),INDEX(LD_GR,C119)&lt;&gt;LD_Null,FALSE),OR(D119=0,IF(ISNUMBER(INDEX(LD_GR,C119+1)),INDEX(LD_GR,C119+1)&lt;&gt;LD_Null,FALSE))),IF(D119=0,INDEX(LD_GR,C119),INDEX(LD_GR,C119)+D119*(INDEX(LD_GR,C119+1)-INDEX(LD_GR,C119))),NA()))</f>
        <v>115.4</v>
      </c>
      <c r="G119" s="0">
        <f>IF(C119=0,NA(),IF(AND(IF(ISNUMBER(INDEX(LD_RS,C119)),AND(INDEX(LD_RS,C119)&lt;&gt;LD_Null,INDEX(LD_RS,C119)&gt;0),FALSE),OR(D119=0,IF(ISNUMBER(INDEX(LD_RS,C119+1)),AND(INDEX(LD_RS,C119+1)&lt;&gt;LD_Null,INDEX(LD_RS,C119+1)&gt;0),FALSE))),IF(D119=0,INDEX(LD_RS,C119),INDEX(LD_RS,C119)+D119*(INDEX(LD_RS,C119+1)-INDEX(LD_RS,C119))),NA()))</f>
        <v>1.94</v>
      </c>
      <c r="H119" s="0">
        <f>IF(C119=0,NA(),IF(AND(IF(ISNUMBER(INDEX(LD_RM,C119)),AND(INDEX(LD_RM,C119)&lt;&gt;LD_Null,INDEX(LD_RM,C119)&gt;0),FALSE),OR(D119=0,IF(ISNUMBER(INDEX(LD_RM,C119+1)),AND(INDEX(LD_RM,C119+1)&lt;&gt;LD_Null,INDEX(LD_RM,C119+1)&gt;0),FALSE))),IF(D119=0,INDEX(LD_RM,C119),INDEX(LD_RM,C119)+D119*(INDEX(LD_RM,C119+1)-INDEX(LD_RM,C119))),NA()))</f>
        <v>2.14</v>
      </c>
      <c r="I119" s="0">
        <f>IF(C119=0,NA(),IF(AND(IF(ISNUMBER(INDEX(LD_RD,C119)),AND(INDEX(LD_RD,C119)&lt;&gt;LD_Null,INDEX(LD_RD,C119)&gt;0),FALSE),OR(D119=0,IF(ISNUMBER(INDEX(LD_RD,C119+1)),AND(INDEX(LD_RD,C119+1)&lt;&gt;LD_Null,INDEX(LD_RD,C119+1)&gt;0),FALSE))),IF(D119=0,INDEX(LD_RD,C119),INDEX(LD_RD,C119)+D119*(INDEX(LD_RD,C119+1)-INDEX(LD_RD,C119))),NA()))</f>
        <v>2.25</v>
      </c>
      <c r="J119" s="19">
        <f>IF(ISNUMBER(F119),MAX(0,MIN(1,(F119-LD_GRClean)/(LD_GRShale-LD_GRClean))),NA())</f>
        <v>1</v>
      </c>
      <c r="K119" s="19">
        <f>IF(ISNUMBER(E119),(MAX(LD_SPMin,MIN(E119,LD_SPBase))-LD_SPMin)/(LD_SPMax-LD_SPMin),NA())</f>
        <v>0.846</v>
      </c>
      <c r="L119" s="19">
        <f>IF(ISNUMBER(E119),(LD_SPBase-MAX(LD_SPMin,MIN(E119,LD_SPBase)))/(LD_SPMax-LD_SPMin),NA())</f>
        <v>0.0040000000000000036</v>
      </c>
      <c r="M119" s="19">
        <f>IF(ISNUMBER(E119),(MIN(LD_SPMax,MAX(E119,LD_SPBase))-LD_SPBase)/(LD_SPMax-LD_SPMin),NA())</f>
        <v>0</v>
      </c>
      <c r="N119" s="19">
        <f>IF(ISNUMBER(F119),MAX(0,MIN(1,(F119-LD_GRMin)/(LD_GRMax-LD_GRMin))),NA())</f>
        <v>0.7693333333333334</v>
      </c>
      <c r="O119" s="0">
        <f>IF(ISNUMBER(F119),(F119&gt;=LD_GRB1)+(F119&gt;=LD_GRB2)+(F119&gt;=LD_GRB3)+(F119&gt;=LD_GRB4),NA())</f>
        <v>4</v>
      </c>
      <c r="P119" s="19">
        <f>IF(ISNUMBER(O119),IF(O119=0,N119,0),NA())</f>
        <v>0</v>
      </c>
      <c r="Q119" s="19">
        <f>IF(ISNUMBER(O119),IF(O119=1,N119,0),NA())</f>
        <v>0</v>
      </c>
      <c r="R119" s="19">
        <f>IF(ISNUMBER(O119),IF(O119=2,N119,0),NA())</f>
        <v>0</v>
      </c>
      <c r="S119" s="19">
        <f>IF(ISNUMBER(O119),IF(O119=3,N119,0),NA())</f>
        <v>0</v>
      </c>
      <c r="T119" s="19">
        <f>IF(ISNUMBER(O119),IF(O119=4,N119,0),NA())</f>
        <v>0.7693333333333334</v>
      </c>
      <c r="U119" s="19">
        <f>IF(ISNUMBER(G119),MAX(0,MIN(1,(LOG10(G119)-LD_RLog0)/LD_RSpan)),NA())</f>
        <v>0.2466929335665612</v>
      </c>
      <c r="V119" s="19">
        <f>IF(ISNUMBER(H119),MAX(0,MIN(1,(LOG10(H119)-LD_RLog0)/LD_RSpan)),NA())</f>
        <v>0.25734594442130243</v>
      </c>
      <c r="W119" s="19">
        <f>IF(ISNUMBER(I119),MAX(0,MIN(1,(LOG10(I119)-LD_RLog0)/LD_RSpan)),NA())</f>
        <v>0.2627881306118453</v>
      </c>
      <c r="Y119" s="19"/>
      <c r="Z119" s="19"/>
      <c r="AA119" s="19">
        <f>MAX(0,MIN(1,(LD_Dec0+6+LOG10(6)-LD_RLog0)/LD_RSpan))</f>
        <v>1</v>
      </c>
      <c r="AB119" s="19">
        <v>120.5</v>
      </c>
    </row>
    <row r="120">
      <c r="A120" s="0">
        <v>106</v>
      </c>
      <c r="B120" s="18">
        <f>LD_Top+(A120+0.5)*LD_Step</f>
        <v>5106.5</v>
      </c>
      <c r="C120" s="0">
        <f>IF(OR(LD_N&lt;2,B120&lt;LD_First,B120&gt;LD_Last),0,MIN(MATCH(B120,LD_Depth,1),LD_N-1))</f>
        <v>214</v>
      </c>
      <c r="D120" s="19">
        <f>IF(C120=0,0,(B120-INDEX(LD_Depth,C120))/(INDEX(LD_Depth,C120+1)-INDEX(LD_Depth,C120)))</f>
        <v>0</v>
      </c>
      <c r="E120" s="0">
        <f>IF(C120=0,NA(),IF(AND(IF(ISNUMBER(INDEX(LD_SP,C120)),INDEX(LD_SP,C120)&lt;&gt;LD_Null,FALSE),OR(D120=0,IF(ISNUMBER(INDEX(LD_SP,C120+1)),INDEX(LD_SP,C120+1)&lt;&gt;LD_Null,FALSE))),IF(D120=0,INDEX(LD_SP,C120),INDEX(LD_SP,C120)+D120*(INDEX(LD_SP,C120+1)-INDEX(LD_SP,C120))),NA()))</f>
        <v>-16</v>
      </c>
      <c r="F120" s="0">
        <f>IF(C120=0,NA(),IF(AND(IF(ISNUMBER(INDEX(LD_GR,C120)),INDEX(LD_GR,C120)&lt;&gt;LD_Null,FALSE),OR(D120=0,IF(ISNUMBER(INDEX(LD_GR,C120+1)),INDEX(LD_GR,C120+1)&lt;&gt;LD_Null,FALSE))),IF(D120=0,INDEX(LD_GR,C120),INDEX(LD_GR,C120)+D120*(INDEX(LD_GR,C120+1)-INDEX(LD_GR,C120))),NA()))</f>
        <v>114.2</v>
      </c>
      <c r="G120" s="0">
        <f>IF(C120=0,NA(),IF(AND(IF(ISNUMBER(INDEX(LD_RS,C120)),AND(INDEX(LD_RS,C120)&lt;&gt;LD_Null,INDEX(LD_RS,C120)&gt;0),FALSE),OR(D120=0,IF(ISNUMBER(INDEX(LD_RS,C120+1)),AND(INDEX(LD_RS,C120+1)&lt;&gt;LD_Null,INDEX(LD_RS,C120+1)&gt;0),FALSE))),IF(D120=0,INDEX(LD_RS,C120),INDEX(LD_RS,C120)+D120*(INDEX(LD_RS,C120+1)-INDEX(LD_RS,C120))),NA()))</f>
        <v>1.97</v>
      </c>
      <c r="H120" s="0">
        <f>IF(C120=0,NA(),IF(AND(IF(ISNUMBER(INDEX(LD_RM,C120)),AND(INDEX(LD_RM,C120)&lt;&gt;LD_Null,INDEX(LD_RM,C120)&gt;0),FALSE),OR(D120=0,IF(ISNUMBER(INDEX(LD_RM,C120+1)),AND(INDEX(LD_RM,C120+1)&lt;&gt;LD_Null,INDEX(LD_RM,C120+1)&gt;0),FALSE))),IF(D120=0,INDEX(LD_RM,C120),INDEX(LD_RM,C120)+D120*(INDEX(LD_RM,C120+1)-INDEX(LD_RM,C120))),NA()))</f>
        <v>2.28</v>
      </c>
      <c r="I120" s="0">
        <f>IF(C120=0,NA(),IF(AND(IF(ISNUMBER(INDEX(LD_RD,C120)),AND(INDEX(LD_RD,C120)&lt;&gt;LD_Null,INDEX(LD_RD,C120)&gt;0),FALSE),OR(D120=0,IF(ISNUMBER(INDEX(LD_RD,C120+1)),AND(INDEX(LD_RD,C120+1)&lt;&gt;LD_Null,INDEX(LD_RD,C120+1)&gt;0),FALSE))),IF(D120=0,INDEX(LD_RD,C120),INDEX(LD_RD,C120)+D120*(INDEX(LD_RD,C120+1)-INDEX(LD_RD,C120))),NA()))</f>
        <v>2.65</v>
      </c>
      <c r="J120" s="19">
        <f>IF(ISNUMBER(F120),MAX(0,MIN(1,(F120-LD_GRClean)/(LD_GRShale-LD_GRClean))),NA())</f>
        <v>0.9905882352941177</v>
      </c>
      <c r="K120" s="19">
        <f>IF(ISNUMBER(E120),(MAX(LD_SPMin,MIN(E120,LD_SPBase))-LD_SPMin)/(LD_SPMax-LD_SPMin),NA())</f>
        <v>0.84</v>
      </c>
      <c r="L120" s="19">
        <f>IF(ISNUMBER(E120),(LD_SPBase-MAX(LD_SPMin,MIN(E120,LD_SPBase)))/(LD_SPMax-LD_SPMin),NA())</f>
        <v>0.01</v>
      </c>
      <c r="M120" s="19">
        <f>IF(ISNUMBER(E120),(MIN(LD_SPMax,MAX(E120,LD_SPBase))-LD_SPBase)/(LD_SPMax-LD_SPMin),NA())</f>
        <v>0</v>
      </c>
      <c r="N120" s="19">
        <f>IF(ISNUMBER(F120),MAX(0,MIN(1,(F120-LD_GRMin)/(LD_GRMax-LD_GRMin))),NA())</f>
        <v>0.7613333333333333</v>
      </c>
      <c r="O120" s="0">
        <f>IF(ISNUMBER(F120),(F120&gt;=LD_GRB1)+(F120&gt;=LD_GRB2)+(F120&gt;=LD_GRB3)+(F120&gt;=LD_GRB4),NA())</f>
        <v>4</v>
      </c>
      <c r="P120" s="19">
        <f>IF(ISNUMBER(O120),IF(O120=0,N120,0),NA())</f>
        <v>0</v>
      </c>
      <c r="Q120" s="19">
        <f>IF(ISNUMBER(O120),IF(O120=1,N120,0),NA())</f>
        <v>0</v>
      </c>
      <c r="R120" s="19">
        <f>IF(ISNUMBER(O120),IF(O120=2,N120,0),NA())</f>
        <v>0</v>
      </c>
      <c r="S120" s="19">
        <f>IF(ISNUMBER(O120),IF(O120=3,N120,0),NA())</f>
        <v>0</v>
      </c>
      <c r="T120" s="19">
        <f>IF(ISNUMBER(O120),IF(O120=4,N120,0),NA())</f>
        <v>0.7613333333333333</v>
      </c>
      <c r="U120" s="19">
        <f>IF(ISNUMBER(G120),MAX(0,MIN(1,(LOG10(G120)-LD_RLog0)/LD_RSpan)),NA())</f>
        <v>0.2483590576244029</v>
      </c>
      <c r="V120" s="19">
        <f>IF(ISNUMBER(H120),MAX(0,MIN(1,(LOG10(H120)-LD_RLog0)/LD_RSpan)),NA())</f>
        <v>0.2642262128341181</v>
      </c>
      <c r="W120" s="19">
        <f>IF(ISNUMBER(I120),MAX(0,MIN(1,(LOG10(I120)-LD_RLog0)/LD_RSpan)),NA())</f>
        <v>0.28055396956820666</v>
      </c>
      <c r="Y120" s="19"/>
      <c r="Z120" s="19"/>
      <c r="AA120" s="19">
        <f>MAX(0,MIN(1,(LD_Dec0+6+LOG10(7)-LD_RLog0)/LD_RSpan))</f>
        <v>1</v>
      </c>
      <c r="AB120" s="19">
        <v>120.5</v>
      </c>
    </row>
    <row r="121">
      <c r="A121" s="0">
        <v>107</v>
      </c>
      <c r="B121" s="18">
        <f>LD_Top+(A121+0.5)*LD_Step</f>
        <v>5107.5</v>
      </c>
      <c r="C121" s="0">
        <f>IF(OR(LD_N&lt;2,B121&lt;LD_First,B121&gt;LD_Last),0,MIN(MATCH(B121,LD_Depth,1),LD_N-1))</f>
        <v>216</v>
      </c>
      <c r="D121" s="19">
        <f>IF(C121=0,0,(B121-INDEX(LD_Depth,C121))/(INDEX(LD_Depth,C121+1)-INDEX(LD_Depth,C121)))</f>
        <v>0</v>
      </c>
      <c r="E121" s="0">
        <f>IF(C121=0,NA(),IF(AND(IF(ISNUMBER(INDEX(LD_SP,C121)),INDEX(LD_SP,C121)&lt;&gt;LD_Null,FALSE),OR(D121=0,IF(ISNUMBER(INDEX(LD_SP,C121+1)),INDEX(LD_SP,C121+1)&lt;&gt;LD_Null,FALSE))),IF(D121=0,INDEX(LD_SP,C121),INDEX(LD_SP,C121)+D121*(INDEX(LD_SP,C121+1)-INDEX(LD_SP,C121))),NA()))</f>
        <v>-14</v>
      </c>
      <c r="F121" s="0">
        <f>IF(C121=0,NA(),IF(AND(IF(ISNUMBER(INDEX(LD_GR,C121)),INDEX(LD_GR,C121)&lt;&gt;LD_Null,FALSE),OR(D121=0,IF(ISNUMBER(INDEX(LD_GR,C121+1)),INDEX(LD_GR,C121+1)&lt;&gt;LD_Null,FALSE))),IF(D121=0,INDEX(LD_GR,C121),INDEX(LD_GR,C121)+D121*(INDEX(LD_GR,C121+1)-INDEX(LD_GR,C121))),NA()))</f>
        <v>113.4</v>
      </c>
      <c r="G121" s="0">
        <f>IF(C121=0,NA(),IF(AND(IF(ISNUMBER(INDEX(LD_RS,C121)),AND(INDEX(LD_RS,C121)&lt;&gt;LD_Null,INDEX(LD_RS,C121)&gt;0),FALSE),OR(D121=0,IF(ISNUMBER(INDEX(LD_RS,C121+1)),AND(INDEX(LD_RS,C121+1)&lt;&gt;LD_Null,INDEX(LD_RS,C121+1)&gt;0),FALSE))),IF(D121=0,INDEX(LD_RS,C121),INDEX(LD_RS,C121)+D121*(INDEX(LD_RS,C121+1)-INDEX(LD_RS,C121))),NA()))</f>
        <v>2.07</v>
      </c>
      <c r="H121" s="0">
        <f>IF(C121=0,NA(),IF(AND(IF(ISNUMBER(INDEX(LD_RM,C121)),AND(INDEX(LD_RM,C121)&lt;&gt;LD_Null,INDEX(LD_RM,C121)&gt;0),FALSE),OR(D121=0,IF(ISNUMBER(INDEX(LD_RM,C121+1)),AND(INDEX(LD_RM,C121+1)&lt;&gt;LD_Null,INDEX(LD_RM,C121+1)&gt;0),FALSE))),IF(D121=0,INDEX(LD_RM,C121),INDEX(LD_RM,C121)+D121*(INDEX(LD_RM,C121+1)-INDEX(LD_RM,C121))),NA()))</f>
        <v>2.27</v>
      </c>
      <c r="I121" s="0">
        <f>IF(C121=0,NA(),IF(AND(IF(ISNUMBER(INDEX(LD_RD,C121)),AND(INDEX(LD_RD,C121)&lt;&gt;LD_Null,INDEX(LD_RD,C121)&gt;0),FALSE),OR(D121=0,IF(ISNUMBER(INDEX(LD_RD,C121+1)),AND(INDEX(LD_RD,C121+1)&lt;&gt;LD_Null,INDEX(LD_RD,C121+1)&gt;0),FALSE))),IF(D121=0,INDEX(LD_RD,C121),INDEX(LD_RD,C121)+D121*(INDEX(LD_RD,C121+1)-INDEX(LD_RD,C121))),NA()))</f>
        <v>2.39</v>
      </c>
      <c r="J121" s="19">
        <f>IF(ISNUMBER(F121),MAX(0,MIN(1,(F121-LD_GRClean)/(LD_GRShale-LD_GRClean))),NA())</f>
        <v>0.9811764705882353</v>
      </c>
      <c r="K121" s="19">
        <f>IF(ISNUMBER(E121),(MAX(LD_SPMin,MIN(E121,LD_SPBase))-LD_SPMin)/(LD_SPMax-LD_SPMin),NA())</f>
        <v>0.85</v>
      </c>
      <c r="L121" s="19">
        <f>IF(ISNUMBER(E121),(LD_SPBase-MAX(LD_SPMin,MIN(E121,LD_SPBase)))/(LD_SPMax-LD_SPMin),NA())</f>
        <v>0</v>
      </c>
      <c r="M121" s="19">
        <f>IF(ISNUMBER(E121),(MIN(LD_SPMax,MAX(E121,LD_SPBase))-LD_SPBase)/(LD_SPMax-LD_SPMin),NA())</f>
        <v>0.01</v>
      </c>
      <c r="N121" s="19">
        <f>IF(ISNUMBER(F121),MAX(0,MIN(1,(F121-LD_GRMin)/(LD_GRMax-LD_GRMin))),NA())</f>
        <v>0.756</v>
      </c>
      <c r="O121" s="0">
        <f>IF(ISNUMBER(F121),(F121&gt;=LD_GRB1)+(F121&gt;=LD_GRB2)+(F121&gt;=LD_GRB3)+(F121&gt;=LD_GRB4),NA())</f>
        <v>4</v>
      </c>
      <c r="P121" s="19">
        <f>IF(ISNUMBER(O121),IF(O121=0,N121,0),NA())</f>
        <v>0</v>
      </c>
      <c r="Q121" s="19">
        <f>IF(ISNUMBER(O121),IF(O121=1,N121,0),NA())</f>
        <v>0</v>
      </c>
      <c r="R121" s="19">
        <f>IF(ISNUMBER(O121),IF(O121=2,N121,0),NA())</f>
        <v>0</v>
      </c>
      <c r="S121" s="19">
        <f>IF(ISNUMBER(O121),IF(O121=3,N121,0),NA())</f>
        <v>0</v>
      </c>
      <c r="T121" s="19">
        <f>IF(ISNUMBER(O121),IF(O121=4,N121,0),NA())</f>
        <v>0.756</v>
      </c>
      <c r="U121" s="19">
        <f>IF(ISNUMBER(G121),MAX(0,MIN(1,(LOG10(G121)-LD_RLog0)/LD_RSpan)),NA())</f>
        <v>0.25373508744823414</v>
      </c>
      <c r="V121" s="19">
        <f>IF(ISNUMBER(H121),MAX(0,MIN(1,(LOG10(H121)-LD_RLog0)/LD_RSpan)),NA())</f>
        <v>0.26374896538228537</v>
      </c>
      <c r="W121" s="19">
        <f>IF(ISNUMBER(I121),MAX(0,MIN(1,(LOG10(I121)-LD_RLog0)/LD_RSpan)),NA())</f>
        <v>0.2693419763210391</v>
      </c>
      <c r="Y121" s="19"/>
      <c r="Z121" s="19"/>
      <c r="AA121" s="19">
        <f>MAX(0,MIN(1,(LD_Dec0+6+LOG10(7)-LD_RLog0)/LD_RSpan))</f>
        <v>1</v>
      </c>
      <c r="AB121" s="19">
        <v>-1.5</v>
      </c>
    </row>
    <row r="122">
      <c r="A122" s="0">
        <v>108</v>
      </c>
      <c r="B122" s="18">
        <f>LD_Top+(A122+0.5)*LD_Step</f>
        <v>5108.5</v>
      </c>
      <c r="C122" s="0">
        <f>IF(OR(LD_N&lt;2,B122&lt;LD_First,B122&gt;LD_Last),0,MIN(MATCH(B122,LD_Depth,1),LD_N-1))</f>
        <v>218</v>
      </c>
      <c r="D122" s="19">
        <f>IF(C122=0,0,(B122-INDEX(LD_Depth,C122))/(INDEX(LD_Depth,C122+1)-INDEX(LD_Depth,C122)))</f>
        <v>0</v>
      </c>
      <c r="E122" s="0">
        <f>IF(C122=0,NA(),IF(AND(IF(ISNUMBER(INDEX(LD_SP,C122)),INDEX(LD_SP,C122)&lt;&gt;LD_Null,FALSE),OR(D122=0,IF(ISNUMBER(INDEX(LD_SP,C122+1)),INDEX(LD_SP,C122+1)&lt;&gt;LD_Null,FALSE))),IF(D122=0,INDEX(LD_SP,C122),INDEX(LD_SP,C122)+D122*(INDEX(LD_SP,C122+1)-INDEX(LD_SP,C122))),NA()))</f>
        <v>-14.9</v>
      </c>
      <c r="F122" s="0">
        <f>IF(C122=0,NA(),IF(AND(IF(ISNUMBER(INDEX(LD_GR,C122)),INDEX(LD_GR,C122)&lt;&gt;LD_Null,FALSE),OR(D122=0,IF(ISNUMBER(INDEX(LD_GR,C122+1)),INDEX(LD_GR,C122+1)&lt;&gt;LD_Null,FALSE))),IF(D122=0,INDEX(LD_GR,C122),INDEX(LD_GR,C122)+D122*(INDEX(LD_GR,C122+1)-INDEX(LD_GR,C122))),NA()))</f>
        <v>117.1</v>
      </c>
      <c r="G122" s="0">
        <f>IF(C122=0,NA(),IF(AND(IF(ISNUMBER(INDEX(LD_RS,C122)),AND(INDEX(LD_RS,C122)&lt;&gt;LD_Null,INDEX(LD_RS,C122)&gt;0),FALSE),OR(D122=0,IF(ISNUMBER(INDEX(LD_RS,C122+1)),AND(INDEX(LD_RS,C122+1)&lt;&gt;LD_Null,INDEX(LD_RS,C122+1)&gt;0),FALSE))),IF(D122=0,INDEX(LD_RS,C122),INDEX(LD_RS,C122)+D122*(INDEX(LD_RS,C122+1)-INDEX(LD_RS,C122))),NA()))</f>
        <v>2.06</v>
      </c>
      <c r="H122" s="0">
        <f>IF(C122=0,NA(),IF(AND(IF(ISNUMBER(INDEX(LD_RM,C122)),AND(INDEX(LD_RM,C122)&lt;&gt;LD_Null,INDEX(LD_RM,C122)&gt;0),FALSE),OR(D122=0,IF(ISNUMBER(INDEX(LD_RM,C122+1)),AND(INDEX(LD_RM,C122+1)&lt;&gt;LD_Null,INDEX(LD_RM,C122+1)&gt;0),FALSE))),IF(D122=0,INDEX(LD_RM,C122),INDEX(LD_RM,C122)+D122*(INDEX(LD_RM,C122+1)-INDEX(LD_RM,C122))),NA()))</f>
        <v>2.11</v>
      </c>
      <c r="I122" s="0">
        <f>IF(C122=0,NA(),IF(AND(IF(ISNUMBER(INDEX(LD_RD,C122)),AND(INDEX(LD_RD,C122)&lt;&gt;LD_Null,INDEX(LD_RD,C122)&gt;0),FALSE),OR(D122=0,IF(ISNUMBER(INDEX(LD_RD,C122+1)),AND(INDEX(LD_RD,C122+1)&lt;&gt;LD_Null,INDEX(LD_RD,C122+1)&gt;0),FALSE))),IF(D122=0,INDEX(LD_RD,C122),INDEX(LD_RD,C122)+D122*(INDEX(LD_RD,C122+1)-INDEX(LD_RD,C122))),NA()))</f>
        <v>2.21</v>
      </c>
      <c r="J122" s="19">
        <f>IF(ISNUMBER(F122),MAX(0,MIN(1,(F122-LD_GRClean)/(LD_GRShale-LD_GRClean))),NA())</f>
        <v>1</v>
      </c>
      <c r="K122" s="19">
        <f>IF(ISNUMBER(E122),(MAX(LD_SPMin,MIN(E122,LD_SPBase))-LD_SPMin)/(LD_SPMax-LD_SPMin),NA())</f>
        <v>0.85</v>
      </c>
      <c r="L122" s="19">
        <f>IF(ISNUMBER(E122),(LD_SPBase-MAX(LD_SPMin,MIN(E122,LD_SPBase)))/(LD_SPMax-LD_SPMin),NA())</f>
        <v>0</v>
      </c>
      <c r="M122" s="19">
        <f>IF(ISNUMBER(E122),(MIN(LD_SPMax,MAX(E122,LD_SPBase))-LD_SPBase)/(LD_SPMax-LD_SPMin),NA())</f>
        <v>0.0009999999999999966</v>
      </c>
      <c r="N122" s="19">
        <f>IF(ISNUMBER(F122),MAX(0,MIN(1,(F122-LD_GRMin)/(LD_GRMax-LD_GRMin))),NA())</f>
        <v>0.7806666666666666</v>
      </c>
      <c r="O122" s="0">
        <f>IF(ISNUMBER(F122),(F122&gt;=LD_GRB1)+(F122&gt;=LD_GRB2)+(F122&gt;=LD_GRB3)+(F122&gt;=LD_GRB4),NA())</f>
        <v>4</v>
      </c>
      <c r="P122" s="19">
        <f>IF(ISNUMBER(O122),IF(O122=0,N122,0),NA())</f>
        <v>0</v>
      </c>
      <c r="Q122" s="19">
        <f>IF(ISNUMBER(O122),IF(O122=1,N122,0),NA())</f>
        <v>0</v>
      </c>
      <c r="R122" s="19">
        <f>IF(ISNUMBER(O122),IF(O122=2,N122,0),NA())</f>
        <v>0</v>
      </c>
      <c r="S122" s="19">
        <f>IF(ISNUMBER(O122),IF(O122=3,N122,0),NA())</f>
        <v>0</v>
      </c>
      <c r="T122" s="19">
        <f>IF(ISNUMBER(O122),IF(O122=4,N122,0),NA())</f>
        <v>0.7806666666666666</v>
      </c>
      <c r="U122" s="19">
        <f>IF(ISNUMBER(G122),MAX(0,MIN(1,(LOG10(G122)-LD_RLog0)/LD_RSpan)),NA())</f>
        <v>0.25320930617629306</v>
      </c>
      <c r="V122" s="19">
        <f>IF(ISNUMBER(H122),MAX(0,MIN(1,(LOG10(H122)-LD_RLog0)/LD_RSpan)),NA())</f>
        <v>0.25581311490842784</v>
      </c>
      <c r="W122" s="19">
        <f>IF(ISNUMBER(I122),MAX(0,MIN(1,(LOG10(I122)-LD_RLog0)/LD_RSpan)),NA())</f>
        <v>0.26084056950528234</v>
      </c>
      <c r="Y122" s="19"/>
      <c r="Z122" s="19"/>
      <c r="AA122" s="19">
        <f>MAX(0,MIN(1,(LD_Dec0+6+LOG10(8)-LD_RLog0)/LD_RSpan))</f>
        <v>1</v>
      </c>
      <c r="AB122" s="19">
        <v>-1.5</v>
      </c>
    </row>
    <row r="123">
      <c r="A123" s="0">
        <v>109</v>
      </c>
      <c r="B123" s="18">
        <f>LD_Top+(A123+0.5)*LD_Step</f>
        <v>5109.5</v>
      </c>
      <c r="C123" s="0">
        <f>IF(OR(LD_N&lt;2,B123&lt;LD_First,B123&gt;LD_Last),0,MIN(MATCH(B123,LD_Depth,1),LD_N-1))</f>
        <v>220</v>
      </c>
      <c r="D123" s="19">
        <f>IF(C123=0,0,(B123-INDEX(LD_Depth,C123))/(INDEX(LD_Depth,C123+1)-INDEX(LD_Depth,C123)))</f>
        <v>0</v>
      </c>
      <c r="E123" s="0">
        <f>IF(C123=0,NA(),IF(AND(IF(ISNUMBER(INDEX(LD_SP,C123)),INDEX(LD_SP,C123)&lt;&gt;LD_Null,FALSE),OR(D123=0,IF(ISNUMBER(INDEX(LD_SP,C123+1)),INDEX(LD_SP,C123+1)&lt;&gt;LD_Null,FALSE))),IF(D123=0,INDEX(LD_SP,C123),INDEX(LD_SP,C123)+D123*(INDEX(LD_SP,C123+1)-INDEX(LD_SP,C123))),NA()))</f>
        <v>-15.3</v>
      </c>
      <c r="F123" s="0">
        <f>IF(C123=0,NA(),IF(AND(IF(ISNUMBER(INDEX(LD_GR,C123)),INDEX(LD_GR,C123)&lt;&gt;LD_Null,FALSE),OR(D123=0,IF(ISNUMBER(INDEX(LD_GR,C123+1)),INDEX(LD_GR,C123+1)&lt;&gt;LD_Null,FALSE))),IF(D123=0,INDEX(LD_GR,C123),INDEX(LD_GR,C123)+D123*(INDEX(LD_GR,C123+1)-INDEX(LD_GR,C123))),NA()))</f>
        <v>116.2</v>
      </c>
      <c r="G123" s="0">
        <f>IF(C123=0,NA(),IF(AND(IF(ISNUMBER(INDEX(LD_RS,C123)),AND(INDEX(LD_RS,C123)&lt;&gt;LD_Null,INDEX(LD_RS,C123)&gt;0),FALSE),OR(D123=0,IF(ISNUMBER(INDEX(LD_RS,C123+1)),AND(INDEX(LD_RS,C123+1)&lt;&gt;LD_Null,INDEX(LD_RS,C123+1)&gt;0),FALSE))),IF(D123=0,INDEX(LD_RS,C123),INDEX(LD_RS,C123)+D123*(INDEX(LD_RS,C123+1)-INDEX(LD_RS,C123))),NA()))</f>
        <v>1.84</v>
      </c>
      <c r="H123" s="0">
        <f>IF(C123=0,NA(),IF(AND(IF(ISNUMBER(INDEX(LD_RM,C123)),AND(INDEX(LD_RM,C123)&lt;&gt;LD_Null,INDEX(LD_RM,C123)&gt;0),FALSE),OR(D123=0,IF(ISNUMBER(INDEX(LD_RM,C123+1)),AND(INDEX(LD_RM,C123+1)&lt;&gt;LD_Null,INDEX(LD_RM,C123+1)&gt;0),FALSE))),IF(D123=0,INDEX(LD_RM,C123),INDEX(LD_RM,C123)+D123*(INDEX(LD_RM,C123+1)-INDEX(LD_RM,C123))),NA()))</f>
        <v>2.18</v>
      </c>
      <c r="I123" s="0">
        <f>IF(C123=0,NA(),IF(AND(IF(ISNUMBER(INDEX(LD_RD,C123)),AND(INDEX(LD_RD,C123)&lt;&gt;LD_Null,INDEX(LD_RD,C123)&gt;0),FALSE),OR(D123=0,IF(ISNUMBER(INDEX(LD_RD,C123+1)),AND(INDEX(LD_RD,C123+1)&lt;&gt;LD_Null,INDEX(LD_RD,C123+1)&gt;0),FALSE))),IF(D123=0,INDEX(LD_RD,C123),INDEX(LD_RD,C123)+D123*(INDEX(LD_RD,C123+1)-INDEX(LD_RD,C123))),NA()))</f>
        <v>2.5</v>
      </c>
      <c r="J123" s="19">
        <f>IF(ISNUMBER(F123),MAX(0,MIN(1,(F123-LD_GRClean)/(LD_GRShale-LD_GRClean))),NA())</f>
        <v>1</v>
      </c>
      <c r="K123" s="19">
        <f>IF(ISNUMBER(E123),(MAX(LD_SPMin,MIN(E123,LD_SPBase))-LD_SPMin)/(LD_SPMax-LD_SPMin),NA())</f>
        <v>0.847</v>
      </c>
      <c r="L123" s="19">
        <f>IF(ISNUMBER(E123),(LD_SPBase-MAX(LD_SPMin,MIN(E123,LD_SPBase)))/(LD_SPMax-LD_SPMin),NA())</f>
        <v>0.003000000000000007</v>
      </c>
      <c r="M123" s="19">
        <f>IF(ISNUMBER(E123),(MIN(LD_SPMax,MAX(E123,LD_SPBase))-LD_SPBase)/(LD_SPMax-LD_SPMin),NA())</f>
        <v>0</v>
      </c>
      <c r="N123" s="19">
        <f>IF(ISNUMBER(F123),MAX(0,MIN(1,(F123-LD_GRMin)/(LD_GRMax-LD_GRMin))),NA())</f>
        <v>0.7746666666666667</v>
      </c>
      <c r="O123" s="0">
        <f>IF(ISNUMBER(F123),(F123&gt;=LD_GRB1)+(F123&gt;=LD_GRB2)+(F123&gt;=LD_GRB3)+(F123&gt;=LD_GRB4),NA())</f>
        <v>4</v>
      </c>
      <c r="P123" s="19">
        <f>IF(ISNUMBER(O123),IF(O123=0,N123,0),NA())</f>
        <v>0</v>
      </c>
      <c r="Q123" s="19">
        <f>IF(ISNUMBER(O123),IF(O123=1,N123,0),NA())</f>
        <v>0</v>
      </c>
      <c r="R123" s="19">
        <f>IF(ISNUMBER(O123),IF(O123=2,N123,0),NA())</f>
        <v>0</v>
      </c>
      <c r="S123" s="19">
        <f>IF(ISNUMBER(O123),IF(O123=3,N123,0),NA())</f>
        <v>0</v>
      </c>
      <c r="T123" s="19">
        <f>IF(ISNUMBER(O123),IF(O123=4,N123,0),NA())</f>
        <v>0.7746666666666667</v>
      </c>
      <c r="U123" s="19">
        <f>IF(ISNUMBER(G123),MAX(0,MIN(1,(LOG10(G123)-LD_RLog0)/LD_RSpan)),NA())</f>
        <v>0.2409469568363888</v>
      </c>
      <c r="V123" s="19">
        <f>IF(ISNUMBER(H123),MAX(0,MIN(1,(LOG10(H123)-LD_RLog0)/LD_RSpan)),NA())</f>
        <v>0.2593566244851559</v>
      </c>
      <c r="W123" s="19">
        <f>IF(ISNUMBER(I123),MAX(0,MIN(1,(LOG10(I123)-LD_RLog0)/LD_RSpan)),NA())</f>
        <v>0.27422750325201406</v>
      </c>
      <c r="Y123" s="19"/>
      <c r="Z123" s="19"/>
      <c r="AA123" s="19">
        <f>MAX(0,MIN(1,(LD_Dec0+6+LOG10(8)-LD_RLog0)/LD_RSpan))</f>
        <v>1</v>
      </c>
      <c r="AB123" s="19">
        <v>120.5</v>
      </c>
    </row>
    <row r="124">
      <c r="A124" s="0">
        <v>110</v>
      </c>
      <c r="B124" s="18">
        <f>LD_Top+(A124+0.5)*LD_Step</f>
        <v>5110.5</v>
      </c>
      <c r="C124" s="0">
        <f>IF(OR(LD_N&lt;2,B124&lt;LD_First,B124&gt;LD_Last),0,MIN(MATCH(B124,LD_Depth,1),LD_N-1))</f>
        <v>222</v>
      </c>
      <c r="D124" s="19">
        <f>IF(C124=0,0,(B124-INDEX(LD_Depth,C124))/(INDEX(LD_Depth,C124+1)-INDEX(LD_Depth,C124)))</f>
        <v>0</v>
      </c>
      <c r="E124" s="0">
        <f>IF(C124=0,NA(),IF(AND(IF(ISNUMBER(INDEX(LD_SP,C124)),INDEX(LD_SP,C124)&lt;&gt;LD_Null,FALSE),OR(D124=0,IF(ISNUMBER(INDEX(LD_SP,C124+1)),INDEX(LD_SP,C124+1)&lt;&gt;LD_Null,FALSE))),IF(D124=0,INDEX(LD_SP,C124),INDEX(LD_SP,C124)+D124*(INDEX(LD_SP,C124+1)-INDEX(LD_SP,C124))),NA()))</f>
        <v>-15.4</v>
      </c>
      <c r="F124" s="0">
        <f>IF(C124=0,NA(),IF(AND(IF(ISNUMBER(INDEX(LD_GR,C124)),INDEX(LD_GR,C124)&lt;&gt;LD_Null,FALSE),OR(D124=0,IF(ISNUMBER(INDEX(LD_GR,C124+1)),INDEX(LD_GR,C124+1)&lt;&gt;LD_Null,FALSE))),IF(D124=0,INDEX(LD_GR,C124),INDEX(LD_GR,C124)+D124*(INDEX(LD_GR,C124+1)-INDEX(LD_GR,C124))),NA()))</f>
        <v>112</v>
      </c>
      <c r="G124" s="0">
        <f>IF(C124=0,NA(),IF(AND(IF(ISNUMBER(INDEX(LD_RS,C124)),AND(INDEX(LD_RS,C124)&lt;&gt;LD_Null,INDEX(LD_RS,C124)&gt;0),FALSE),OR(D124=0,IF(ISNUMBER(INDEX(LD_RS,C124+1)),AND(INDEX(LD_RS,C124+1)&lt;&gt;LD_Null,INDEX(LD_RS,C124+1)&gt;0),FALSE))),IF(D124=0,INDEX(LD_RS,C124),INDEX(LD_RS,C124)+D124*(INDEX(LD_RS,C124+1)-INDEX(LD_RS,C124))),NA()))</f>
        <v>2.07</v>
      </c>
      <c r="H124" s="0">
        <f>IF(C124=0,NA(),IF(AND(IF(ISNUMBER(INDEX(LD_RM,C124)),AND(INDEX(LD_RM,C124)&lt;&gt;LD_Null,INDEX(LD_RM,C124)&gt;0),FALSE),OR(D124=0,IF(ISNUMBER(INDEX(LD_RM,C124+1)),AND(INDEX(LD_RM,C124+1)&lt;&gt;LD_Null,INDEX(LD_RM,C124+1)&gt;0),FALSE))),IF(D124=0,INDEX(LD_RM,C124),INDEX(LD_RM,C124)+D124*(INDEX(LD_RM,C124+1)-INDEX(LD_RM,C124))),NA()))</f>
        <v>2.22</v>
      </c>
      <c r="I124" s="0">
        <f>IF(C124=0,NA(),IF(AND(IF(ISNUMBER(INDEX(LD_RD,C124)),AND(INDEX(LD_RD,C124)&lt;&gt;LD_Null,INDEX(LD_RD,C124)&gt;0),FALSE),OR(D124=0,IF(ISNUMBER(INDEX(LD_RD,C124+1)),AND(INDEX(LD_RD,C124+1)&lt;&gt;LD_Null,INDEX(LD_RD,C124+1)&gt;0),FALSE))),IF(D124=0,INDEX(LD_RD,C124),INDEX(LD_RD,C124)+D124*(INDEX(LD_RD,C124+1)-INDEX(LD_RD,C124))),NA()))</f>
        <v>2.53</v>
      </c>
      <c r="J124" s="19">
        <f>IF(ISNUMBER(F124),MAX(0,MIN(1,(F124-LD_GRClean)/(LD_GRShale-LD_GRClean))),NA())</f>
        <v>0.9647058823529412</v>
      </c>
      <c r="K124" s="19">
        <f>IF(ISNUMBER(E124),(MAX(LD_SPMin,MIN(E124,LD_SPBase))-LD_SPMin)/(LD_SPMax-LD_SPMin),NA())</f>
        <v>0.846</v>
      </c>
      <c r="L124" s="19">
        <f>IF(ISNUMBER(E124),(LD_SPBase-MAX(LD_SPMin,MIN(E124,LD_SPBase)))/(LD_SPMax-LD_SPMin),NA())</f>
        <v>0.0040000000000000036</v>
      </c>
      <c r="M124" s="19">
        <f>IF(ISNUMBER(E124),(MIN(LD_SPMax,MAX(E124,LD_SPBase))-LD_SPBase)/(LD_SPMax-LD_SPMin),NA())</f>
        <v>0</v>
      </c>
      <c r="N124" s="19">
        <f>IF(ISNUMBER(F124),MAX(0,MIN(1,(F124-LD_GRMin)/(LD_GRMax-LD_GRMin))),NA())</f>
        <v>0.7466666666666667</v>
      </c>
      <c r="O124" s="0">
        <f>IF(ISNUMBER(F124),(F124&gt;=LD_GRB1)+(F124&gt;=LD_GRB2)+(F124&gt;=LD_GRB3)+(F124&gt;=LD_GRB4),NA())</f>
        <v>4</v>
      </c>
      <c r="P124" s="19">
        <f>IF(ISNUMBER(O124),IF(O124=0,N124,0),NA())</f>
        <v>0</v>
      </c>
      <c r="Q124" s="19">
        <f>IF(ISNUMBER(O124),IF(O124=1,N124,0),NA())</f>
        <v>0</v>
      </c>
      <c r="R124" s="19">
        <f>IF(ISNUMBER(O124),IF(O124=2,N124,0),NA())</f>
        <v>0</v>
      </c>
      <c r="S124" s="19">
        <f>IF(ISNUMBER(O124),IF(O124=3,N124,0),NA())</f>
        <v>0</v>
      </c>
      <c r="T124" s="19">
        <f>IF(ISNUMBER(O124),IF(O124=4,N124,0),NA())</f>
        <v>0.7466666666666667</v>
      </c>
      <c r="U124" s="19">
        <f>IF(ISNUMBER(G124),MAX(0,MIN(1,(LOG10(G124)-LD_RLog0)/LD_RSpan)),NA())</f>
        <v>0.25373508744823414</v>
      </c>
      <c r="V124" s="19">
        <f>IF(ISNUMBER(H124),MAX(0,MIN(1,(LOG10(H124)-LD_RLog0)/LD_RSpan)),NA())</f>
        <v>0.26133074469666434</v>
      </c>
      <c r="W124" s="19">
        <f>IF(ISNUMBER(I124),MAX(0,MIN(1,(LOG10(I124)-LD_RLog0)/LD_RSpan)),NA())</f>
        <v>0.2755226313779592</v>
      </c>
      <c r="Y124" s="19"/>
      <c r="Z124" s="19"/>
      <c r="AA124" s="19">
        <f>MAX(0,MIN(1,(LD_Dec0+6+LOG10(9)-LD_RLog0)/LD_RSpan))</f>
        <v>1</v>
      </c>
      <c r="AB124" s="19">
        <v>120.5</v>
      </c>
    </row>
    <row r="125">
      <c r="A125" s="0">
        <v>111</v>
      </c>
      <c r="B125" s="18">
        <f>LD_Top+(A125+0.5)*LD_Step</f>
        <v>5111.5</v>
      </c>
      <c r="C125" s="0">
        <f>IF(OR(LD_N&lt;2,B125&lt;LD_First,B125&gt;LD_Last),0,MIN(MATCH(B125,LD_Depth,1),LD_N-1))</f>
        <v>224</v>
      </c>
      <c r="D125" s="19">
        <f>IF(C125=0,0,(B125-INDEX(LD_Depth,C125))/(INDEX(LD_Depth,C125+1)-INDEX(LD_Depth,C125)))</f>
        <v>0</v>
      </c>
      <c r="E125" s="0">
        <f>IF(C125=0,NA(),IF(AND(IF(ISNUMBER(INDEX(LD_SP,C125)),INDEX(LD_SP,C125)&lt;&gt;LD_Null,FALSE),OR(D125=0,IF(ISNUMBER(INDEX(LD_SP,C125+1)),INDEX(LD_SP,C125+1)&lt;&gt;LD_Null,FALSE))),IF(D125=0,INDEX(LD_SP,C125),INDEX(LD_SP,C125)+D125*(INDEX(LD_SP,C125+1)-INDEX(LD_SP,C125))),NA()))</f>
        <v>-14.5</v>
      </c>
      <c r="F125" s="0">
        <f>IF(C125=0,NA(),IF(AND(IF(ISNUMBER(INDEX(LD_GR,C125)),INDEX(LD_GR,C125)&lt;&gt;LD_Null,FALSE),OR(D125=0,IF(ISNUMBER(INDEX(LD_GR,C125+1)),INDEX(LD_GR,C125+1)&lt;&gt;LD_Null,FALSE))),IF(D125=0,INDEX(LD_GR,C125),INDEX(LD_GR,C125)+D125*(INDEX(LD_GR,C125+1)-INDEX(LD_GR,C125))),NA()))</f>
        <v>114.8</v>
      </c>
      <c r="G125" s="0">
        <f>IF(C125=0,NA(),IF(AND(IF(ISNUMBER(INDEX(LD_RS,C125)),AND(INDEX(LD_RS,C125)&lt;&gt;LD_Null,INDEX(LD_RS,C125)&gt;0),FALSE),OR(D125=0,IF(ISNUMBER(INDEX(LD_RS,C125+1)),AND(INDEX(LD_RS,C125+1)&lt;&gt;LD_Null,INDEX(LD_RS,C125+1)&gt;0),FALSE))),IF(D125=0,INDEX(LD_RS,C125),INDEX(LD_RS,C125)+D125*(INDEX(LD_RS,C125+1)-INDEX(LD_RS,C125))),NA()))</f>
        <v>2.1</v>
      </c>
      <c r="H125" s="0">
        <f>IF(C125=0,NA(),IF(AND(IF(ISNUMBER(INDEX(LD_RM,C125)),AND(INDEX(LD_RM,C125)&lt;&gt;LD_Null,INDEX(LD_RM,C125)&gt;0),FALSE),OR(D125=0,IF(ISNUMBER(INDEX(LD_RM,C125+1)),AND(INDEX(LD_RM,C125+1)&lt;&gt;LD_Null,INDEX(LD_RM,C125+1)&gt;0),FALSE))),IF(D125=0,INDEX(LD_RM,C125),INDEX(LD_RM,C125)+D125*(INDEX(LD_RM,C125+1)-INDEX(LD_RM,C125))),NA()))</f>
        <v>2.34</v>
      </c>
      <c r="I125" s="0">
        <f>IF(C125=0,NA(),IF(AND(IF(ISNUMBER(INDEX(LD_RD,C125)),AND(INDEX(LD_RD,C125)&lt;&gt;LD_Null,INDEX(LD_RD,C125)&gt;0),FALSE),OR(D125=0,IF(ISNUMBER(INDEX(LD_RD,C125+1)),AND(INDEX(LD_RD,C125+1)&lt;&gt;LD_Null,INDEX(LD_RD,C125+1)&gt;0),FALSE))),IF(D125=0,INDEX(LD_RD,C125),INDEX(LD_RD,C125)+D125*(INDEX(LD_RD,C125+1)-INDEX(LD_RD,C125))),NA()))</f>
        <v>2.28</v>
      </c>
      <c r="J125" s="19">
        <f>IF(ISNUMBER(F125),MAX(0,MIN(1,(F125-LD_GRClean)/(LD_GRShale-LD_GRClean))),NA())</f>
        <v>0.9976470588235293</v>
      </c>
      <c r="K125" s="19">
        <f>IF(ISNUMBER(E125),(MAX(LD_SPMin,MIN(E125,LD_SPBase))-LD_SPMin)/(LD_SPMax-LD_SPMin),NA())</f>
        <v>0.85</v>
      </c>
      <c r="L125" s="19">
        <f>IF(ISNUMBER(E125),(LD_SPBase-MAX(LD_SPMin,MIN(E125,LD_SPBase)))/(LD_SPMax-LD_SPMin),NA())</f>
        <v>0</v>
      </c>
      <c r="M125" s="19">
        <f>IF(ISNUMBER(E125),(MIN(LD_SPMax,MAX(E125,LD_SPBase))-LD_SPBase)/(LD_SPMax-LD_SPMin),NA())</f>
        <v>0.005</v>
      </c>
      <c r="N125" s="19">
        <f>IF(ISNUMBER(F125),MAX(0,MIN(1,(F125-LD_GRMin)/(LD_GRMax-LD_GRMin))),NA())</f>
        <v>0.7653333333333333</v>
      </c>
      <c r="O125" s="0">
        <f>IF(ISNUMBER(F125),(F125&gt;=LD_GRB1)+(F125&gt;=LD_GRB2)+(F125&gt;=LD_GRB3)+(F125&gt;=LD_GRB4),NA())</f>
        <v>4</v>
      </c>
      <c r="P125" s="19">
        <f>IF(ISNUMBER(O125),IF(O125=0,N125,0),NA())</f>
        <v>0</v>
      </c>
      <c r="Q125" s="19">
        <f>IF(ISNUMBER(O125),IF(O125=1,N125,0),NA())</f>
        <v>0</v>
      </c>
      <c r="R125" s="19">
        <f>IF(ISNUMBER(O125),IF(O125=2,N125,0),NA())</f>
        <v>0</v>
      </c>
      <c r="S125" s="19">
        <f>IF(ISNUMBER(O125),IF(O125=3,N125,0),NA())</f>
        <v>0</v>
      </c>
      <c r="T125" s="19">
        <f>IF(ISNUMBER(O125),IF(O125=4,N125,0),NA())</f>
        <v>0.7653333333333333</v>
      </c>
      <c r="U125" s="19">
        <f>IF(ISNUMBER(G125),MAX(0,MIN(1,(LOG10(G125)-LD_RLog0)/LD_RSpan)),NA())</f>
        <v>0.2552973247674845</v>
      </c>
      <c r="V125" s="19">
        <f>IF(ISNUMBER(H125),MAX(0,MIN(1,(LOG10(H125)-LD_RLog0)/LD_RSpan)),NA())</f>
        <v>0.2670464654365404</v>
      </c>
      <c r="W125" s="19">
        <f>IF(ISNUMBER(I125),MAX(0,MIN(1,(LOG10(I125)-LD_RLog0)/LD_RSpan)),NA())</f>
        <v>0.2642262128341181</v>
      </c>
      <c r="Y125" s="19"/>
      <c r="Z125" s="19"/>
      <c r="AA125" s="19">
        <f>MAX(0,MIN(1,(LD_Dec0+6+LOG10(9)-LD_RLog0)/LD_RSpan))</f>
        <v>1</v>
      </c>
      <c r="AB125" s="19">
        <v>-1.5</v>
      </c>
    </row>
    <row r="126">
      <c r="A126" s="0">
        <v>112</v>
      </c>
      <c r="B126" s="18">
        <f>LD_Top+(A126+0.5)*LD_Step</f>
        <v>5112.5</v>
      </c>
      <c r="C126" s="0">
        <f>IF(OR(LD_N&lt;2,B126&lt;LD_First,B126&gt;LD_Last),0,MIN(MATCH(B126,LD_Depth,1),LD_N-1))</f>
        <v>226</v>
      </c>
      <c r="D126" s="19">
        <f>IF(C126=0,0,(B126-INDEX(LD_Depth,C126))/(INDEX(LD_Depth,C126+1)-INDEX(LD_Depth,C126)))</f>
        <v>0</v>
      </c>
      <c r="E126" s="0">
        <f>IF(C126=0,NA(),IF(AND(IF(ISNUMBER(INDEX(LD_SP,C126)),INDEX(LD_SP,C126)&lt;&gt;LD_Null,FALSE),OR(D126=0,IF(ISNUMBER(INDEX(LD_SP,C126+1)),INDEX(LD_SP,C126+1)&lt;&gt;LD_Null,FALSE))),IF(D126=0,INDEX(LD_SP,C126),INDEX(LD_SP,C126)+D126*(INDEX(LD_SP,C126+1)-INDEX(LD_SP,C126))),NA()))</f>
        <v>-14.7</v>
      </c>
      <c r="F126" s="0">
        <f>IF(C126=0,NA(),IF(AND(IF(ISNUMBER(INDEX(LD_GR,C126)),INDEX(LD_GR,C126)&lt;&gt;LD_Null,FALSE),OR(D126=0,IF(ISNUMBER(INDEX(LD_GR,C126+1)),INDEX(LD_GR,C126+1)&lt;&gt;LD_Null,FALSE))),IF(D126=0,INDEX(LD_GR,C126),INDEX(LD_GR,C126)+D126*(INDEX(LD_GR,C126+1)-INDEX(LD_GR,C126))),NA()))</f>
        <v>119.1</v>
      </c>
      <c r="G126" s="0">
        <f>IF(C126=0,NA(),IF(AND(IF(ISNUMBER(INDEX(LD_RS,C126)),AND(INDEX(LD_RS,C126)&lt;&gt;LD_Null,INDEX(LD_RS,C126)&gt;0),FALSE),OR(D126=0,IF(ISNUMBER(INDEX(LD_RS,C126+1)),AND(INDEX(LD_RS,C126+1)&lt;&gt;LD_Null,INDEX(LD_RS,C126+1)&gt;0),FALSE))),IF(D126=0,INDEX(LD_RS,C126),INDEX(LD_RS,C126)+D126*(INDEX(LD_RS,C126+1)-INDEX(LD_RS,C126))),NA()))</f>
        <v>1.91</v>
      </c>
      <c r="H126" s="0">
        <f>IF(C126=0,NA(),IF(AND(IF(ISNUMBER(INDEX(LD_RM,C126)),AND(INDEX(LD_RM,C126)&lt;&gt;LD_Null,INDEX(LD_RM,C126)&gt;0),FALSE),OR(D126=0,IF(ISNUMBER(INDEX(LD_RM,C126+1)),AND(INDEX(LD_RM,C126+1)&lt;&gt;LD_Null,INDEX(LD_RM,C126+1)&gt;0),FALSE))),IF(D126=0,INDEX(LD_RM,C126),INDEX(LD_RM,C126)+D126*(INDEX(LD_RM,C126+1)-INDEX(LD_RM,C126))),NA()))</f>
        <v>2.05</v>
      </c>
      <c r="I126" s="0">
        <f>IF(C126=0,NA(),IF(AND(IF(ISNUMBER(INDEX(LD_RD,C126)),AND(INDEX(LD_RD,C126)&lt;&gt;LD_Null,INDEX(LD_RD,C126)&gt;0),FALSE),OR(D126=0,IF(ISNUMBER(INDEX(LD_RD,C126+1)),AND(INDEX(LD_RD,C126+1)&lt;&gt;LD_Null,INDEX(LD_RD,C126+1)&gt;0),FALSE))),IF(D126=0,INDEX(LD_RD,C126),INDEX(LD_RD,C126)+D126*(INDEX(LD_RD,C126+1)-INDEX(LD_RD,C126))),NA()))</f>
        <v>2.35</v>
      </c>
      <c r="J126" s="19">
        <f>IF(ISNUMBER(F126),MAX(0,MIN(1,(F126-LD_GRClean)/(LD_GRShale-LD_GRClean))),NA())</f>
        <v>1</v>
      </c>
      <c r="K126" s="19">
        <f>IF(ISNUMBER(E126),(MAX(LD_SPMin,MIN(E126,LD_SPBase))-LD_SPMin)/(LD_SPMax-LD_SPMin),NA())</f>
        <v>0.85</v>
      </c>
      <c r="L126" s="19">
        <f>IF(ISNUMBER(E126),(LD_SPBase-MAX(LD_SPMin,MIN(E126,LD_SPBase)))/(LD_SPMax-LD_SPMin),NA())</f>
        <v>0</v>
      </c>
      <c r="M126" s="19">
        <f>IF(ISNUMBER(E126),(MIN(LD_SPMax,MAX(E126,LD_SPBase))-LD_SPBase)/(LD_SPMax-LD_SPMin),NA())</f>
        <v>0.003000000000000007</v>
      </c>
      <c r="N126" s="19">
        <f>IF(ISNUMBER(F126),MAX(0,MIN(1,(F126-LD_GRMin)/(LD_GRMax-LD_GRMin))),NA())</f>
        <v>0.7939999999999999</v>
      </c>
      <c r="O126" s="0">
        <f>IF(ISNUMBER(F126),(F126&gt;=LD_GRB1)+(F126&gt;=LD_GRB2)+(F126&gt;=LD_GRB3)+(F126&gt;=LD_GRB4),NA())</f>
        <v>4</v>
      </c>
      <c r="P126" s="19">
        <f>IF(ISNUMBER(O126),IF(O126=0,N126,0),NA())</f>
        <v>0</v>
      </c>
      <c r="Q126" s="19">
        <f>IF(ISNUMBER(O126),IF(O126=1,N126,0),NA())</f>
        <v>0</v>
      </c>
      <c r="R126" s="19">
        <f>IF(ISNUMBER(O126),IF(O126=2,N126,0),NA())</f>
        <v>0</v>
      </c>
      <c r="S126" s="19">
        <f>IF(ISNUMBER(O126),IF(O126=3,N126,0),NA())</f>
        <v>0</v>
      </c>
      <c r="T126" s="19">
        <f>IF(ISNUMBER(O126),IF(O126=4,N126,0),NA())</f>
        <v>0.7939999999999999</v>
      </c>
      <c r="U126" s="19">
        <f>IF(ISNUMBER(G126),MAX(0,MIN(1,(LOG10(G126)-LD_RLog0)/LD_RSpan)),NA())</f>
        <v>0.24500084289593654</v>
      </c>
      <c r="V126" s="19">
        <f>IF(ISNUMBER(H126),MAX(0,MIN(1,(LOG10(H126)-LD_RLog0)/LD_RSpan)),NA())</f>
        <v>0.25268096634794324</v>
      </c>
      <c r="W126" s="19">
        <f>IF(ISNUMBER(I126),MAX(0,MIN(1,(LOG10(I126)-LD_RLog0)/LD_RSpan)),NA())</f>
        <v>0.26750946665193875</v>
      </c>
    </row>
    <row r="127">
      <c r="A127" s="0">
        <v>113</v>
      </c>
      <c r="B127" s="18">
        <f>LD_Top+(A127+0.5)*LD_Step</f>
        <v>5113.5</v>
      </c>
      <c r="C127" s="0">
        <f>IF(OR(LD_N&lt;2,B127&lt;LD_First,B127&gt;LD_Last),0,MIN(MATCH(B127,LD_Depth,1),LD_N-1))</f>
        <v>228</v>
      </c>
      <c r="D127" s="19">
        <f>IF(C127=0,0,(B127-INDEX(LD_Depth,C127))/(INDEX(LD_Depth,C127+1)-INDEX(LD_Depth,C127)))</f>
        <v>0</v>
      </c>
      <c r="E127" s="0">
        <f>IF(C127=0,NA(),IF(AND(IF(ISNUMBER(INDEX(LD_SP,C127)),INDEX(LD_SP,C127)&lt;&gt;LD_Null,FALSE),OR(D127=0,IF(ISNUMBER(INDEX(LD_SP,C127+1)),INDEX(LD_SP,C127+1)&lt;&gt;LD_Null,FALSE))),IF(D127=0,INDEX(LD_SP,C127),INDEX(LD_SP,C127)+D127*(INDEX(LD_SP,C127+1)-INDEX(LD_SP,C127))),NA()))</f>
        <v>-15.3</v>
      </c>
      <c r="F127" s="0">
        <f>IF(C127=0,NA(),IF(AND(IF(ISNUMBER(INDEX(LD_GR,C127)),INDEX(LD_GR,C127)&lt;&gt;LD_Null,FALSE),OR(D127=0,IF(ISNUMBER(INDEX(LD_GR,C127+1)),INDEX(LD_GR,C127+1)&lt;&gt;LD_Null,FALSE))),IF(D127=0,INDEX(LD_GR,C127),INDEX(LD_GR,C127)+D127*(INDEX(LD_GR,C127+1)-INDEX(LD_GR,C127))),NA()))</f>
        <v>112.2</v>
      </c>
      <c r="G127" s="0">
        <f>IF(C127=0,NA(),IF(AND(IF(ISNUMBER(INDEX(LD_RS,C127)),AND(INDEX(LD_RS,C127)&lt;&gt;LD_Null,INDEX(LD_RS,C127)&gt;0),FALSE),OR(D127=0,IF(ISNUMBER(INDEX(LD_RS,C127+1)),AND(INDEX(LD_RS,C127+1)&lt;&gt;LD_Null,INDEX(LD_RS,C127+1)&gt;0),FALSE))),IF(D127=0,INDEX(LD_RS,C127),INDEX(LD_RS,C127)+D127*(INDEX(LD_RS,C127+1)-INDEX(LD_RS,C127))),NA()))</f>
        <v>1.92</v>
      </c>
      <c r="H127" s="0">
        <f>IF(C127=0,NA(),IF(AND(IF(ISNUMBER(INDEX(LD_RM,C127)),AND(INDEX(LD_RM,C127)&lt;&gt;LD_Null,INDEX(LD_RM,C127)&gt;0),FALSE),OR(D127=0,IF(ISNUMBER(INDEX(LD_RM,C127+1)),AND(INDEX(LD_RM,C127+1)&lt;&gt;LD_Null,INDEX(LD_RM,C127+1)&gt;0),FALSE))),IF(D127=0,INDEX(LD_RM,C127),INDEX(LD_RM,C127)+D127*(INDEX(LD_RM,C127+1)-INDEX(LD_RM,C127))),NA()))</f>
        <v>2.14</v>
      </c>
      <c r="I127" s="0">
        <f>IF(C127=0,NA(),IF(AND(IF(ISNUMBER(INDEX(LD_RD,C127)),AND(INDEX(LD_RD,C127)&lt;&gt;LD_Null,INDEX(LD_RD,C127)&gt;0),FALSE),OR(D127=0,IF(ISNUMBER(INDEX(LD_RD,C127+1)),AND(INDEX(LD_RD,C127+1)&lt;&gt;LD_Null,INDEX(LD_RD,C127+1)&gt;0),FALSE))),IF(D127=0,INDEX(LD_RD,C127),INDEX(LD_RD,C127)+D127*(INDEX(LD_RD,C127+1)-INDEX(LD_RD,C127))),NA()))</f>
        <v>2.47</v>
      </c>
      <c r="J127" s="19">
        <f>IF(ISNUMBER(F127),MAX(0,MIN(1,(F127-LD_GRClean)/(LD_GRShale-LD_GRClean))),NA())</f>
        <v>0.9670588235294117</v>
      </c>
      <c r="K127" s="19">
        <f>IF(ISNUMBER(E127),(MAX(LD_SPMin,MIN(E127,LD_SPBase))-LD_SPMin)/(LD_SPMax-LD_SPMin),NA())</f>
        <v>0.847</v>
      </c>
      <c r="L127" s="19">
        <f>IF(ISNUMBER(E127),(LD_SPBase-MAX(LD_SPMin,MIN(E127,LD_SPBase)))/(LD_SPMax-LD_SPMin),NA())</f>
        <v>0.003000000000000007</v>
      </c>
      <c r="M127" s="19">
        <f>IF(ISNUMBER(E127),(MIN(LD_SPMax,MAX(E127,LD_SPBase))-LD_SPBase)/(LD_SPMax-LD_SPMin),NA())</f>
        <v>0</v>
      </c>
      <c r="N127" s="19">
        <f>IF(ISNUMBER(F127),MAX(0,MIN(1,(F127-LD_GRMin)/(LD_GRMax-LD_GRMin))),NA())</f>
        <v>0.748</v>
      </c>
      <c r="O127" s="0">
        <f>IF(ISNUMBER(F127),(F127&gt;=LD_GRB1)+(F127&gt;=LD_GRB2)+(F127&gt;=LD_GRB3)+(F127&gt;=LD_GRB4),NA())</f>
        <v>4</v>
      </c>
      <c r="P127" s="19">
        <f>IF(ISNUMBER(O127),IF(O127=0,N127,0),NA())</f>
        <v>0</v>
      </c>
      <c r="Q127" s="19">
        <f>IF(ISNUMBER(O127),IF(O127=1,N127,0),NA())</f>
        <v>0</v>
      </c>
      <c r="R127" s="19">
        <f>IF(ISNUMBER(O127),IF(O127=2,N127,0),NA())</f>
        <v>0</v>
      </c>
      <c r="S127" s="19">
        <f>IF(ISNUMBER(O127),IF(O127=3,N127,0),NA())</f>
        <v>0</v>
      </c>
      <c r="T127" s="19">
        <f>IF(ISNUMBER(O127),IF(O127=4,N127,0),NA())</f>
        <v>0.748</v>
      </c>
      <c r="U127" s="19">
        <f>IF(ISNUMBER(G127),MAX(0,MIN(1,(LOG10(G127)-LD_RLog0)/LD_RSpan)),NA())</f>
        <v>0.24556780825989208</v>
      </c>
      <c r="V127" s="19">
        <f>IF(ISNUMBER(H127),MAX(0,MIN(1,(LOG10(H127)-LD_RLog0)/LD_RSpan)),NA())</f>
        <v>0.25734594442130243</v>
      </c>
      <c r="W127" s="19">
        <f>IF(ISNUMBER(I127),MAX(0,MIN(1,(LOG10(I127)-LD_RLog0)/LD_RSpan)),NA())</f>
        <v>0.27291673939892114</v>
      </c>
    </row>
    <row r="128">
      <c r="A128" s="0">
        <v>114</v>
      </c>
      <c r="B128" s="18">
        <f>LD_Top+(A128+0.5)*LD_Step</f>
        <v>5114.5</v>
      </c>
      <c r="C128" s="0">
        <f>IF(OR(LD_N&lt;2,B128&lt;LD_First,B128&gt;LD_Last),0,MIN(MATCH(B128,LD_Depth,1),LD_N-1))</f>
        <v>230</v>
      </c>
      <c r="D128" s="19">
        <f>IF(C128=0,0,(B128-INDEX(LD_Depth,C128))/(INDEX(LD_Depth,C128+1)-INDEX(LD_Depth,C128)))</f>
        <v>0</v>
      </c>
      <c r="E128" s="0">
        <f>IF(C128=0,NA(),IF(AND(IF(ISNUMBER(INDEX(LD_SP,C128)),INDEX(LD_SP,C128)&lt;&gt;LD_Null,FALSE),OR(D128=0,IF(ISNUMBER(INDEX(LD_SP,C128+1)),INDEX(LD_SP,C128+1)&lt;&gt;LD_Null,FALSE))),IF(D128=0,INDEX(LD_SP,C128),INDEX(LD_SP,C128)+D128*(INDEX(LD_SP,C128+1)-INDEX(LD_SP,C128))),NA()))</f>
        <v>-15.8</v>
      </c>
      <c r="F128" s="0">
        <f>IF(C128=0,NA(),IF(AND(IF(ISNUMBER(INDEX(LD_GR,C128)),INDEX(LD_GR,C128)&lt;&gt;LD_Null,FALSE),OR(D128=0,IF(ISNUMBER(INDEX(LD_GR,C128+1)),INDEX(LD_GR,C128+1)&lt;&gt;LD_Null,FALSE))),IF(D128=0,INDEX(LD_GR,C128),INDEX(LD_GR,C128)+D128*(INDEX(LD_GR,C128+1)-INDEX(LD_GR,C128))),NA()))</f>
        <v>113.7</v>
      </c>
      <c r="G128" s="0">
        <f>IF(C128=0,NA(),IF(AND(IF(ISNUMBER(INDEX(LD_RS,C128)),AND(INDEX(LD_RS,C128)&lt;&gt;LD_Null,INDEX(LD_RS,C128)&gt;0),FALSE),OR(D128=0,IF(ISNUMBER(INDEX(LD_RS,C128+1)),AND(INDEX(LD_RS,C128+1)&lt;&gt;LD_Null,INDEX(LD_RS,C128+1)&gt;0),FALSE))),IF(D128=0,INDEX(LD_RS,C128),INDEX(LD_RS,C128)+D128*(INDEX(LD_RS,C128+1)-INDEX(LD_RS,C128))),NA()))</f>
        <v>2.14</v>
      </c>
      <c r="H128" s="0">
        <f>IF(C128=0,NA(),IF(AND(IF(ISNUMBER(INDEX(LD_RM,C128)),AND(INDEX(LD_RM,C128)&lt;&gt;LD_Null,INDEX(LD_RM,C128)&gt;0),FALSE),OR(D128=0,IF(ISNUMBER(INDEX(LD_RM,C128+1)),AND(INDEX(LD_RM,C128+1)&lt;&gt;LD_Null,INDEX(LD_RM,C128+1)&gt;0),FALSE))),IF(D128=0,INDEX(LD_RM,C128),INDEX(LD_RM,C128)+D128*(INDEX(LD_RM,C128+1)-INDEX(LD_RM,C128))),NA()))</f>
        <v>2.4</v>
      </c>
      <c r="I128" s="0">
        <f>IF(C128=0,NA(),IF(AND(IF(ISNUMBER(INDEX(LD_RD,C128)),AND(INDEX(LD_RD,C128)&lt;&gt;LD_Null,INDEX(LD_RD,C128)&gt;0),FALSE),OR(D128=0,IF(ISNUMBER(INDEX(LD_RD,C128+1)),AND(INDEX(LD_RD,C128+1)&lt;&gt;LD_Null,INDEX(LD_RD,C128+1)&gt;0),FALSE))),IF(D128=0,INDEX(LD_RD,C128),INDEX(LD_RD,C128)+D128*(INDEX(LD_RD,C128+1)-INDEX(LD_RD,C128))),NA()))</f>
        <v>2.45</v>
      </c>
      <c r="J128" s="19">
        <f>IF(ISNUMBER(F128),MAX(0,MIN(1,(F128-LD_GRClean)/(LD_GRShale-LD_GRClean))),NA())</f>
        <v>0.9847058823529412</v>
      </c>
      <c r="K128" s="19">
        <f>IF(ISNUMBER(E128),(MAX(LD_SPMin,MIN(E128,LD_SPBase))-LD_SPMin)/(LD_SPMax-LD_SPMin),NA())</f>
        <v>0.8420000000000001</v>
      </c>
      <c r="L128" s="19">
        <f>IF(ISNUMBER(E128),(LD_SPBase-MAX(LD_SPMin,MIN(E128,LD_SPBase)))/(LD_SPMax-LD_SPMin),NA())</f>
        <v>0.008000000000000007</v>
      </c>
      <c r="M128" s="19">
        <f>IF(ISNUMBER(E128),(MIN(LD_SPMax,MAX(E128,LD_SPBase))-LD_SPBase)/(LD_SPMax-LD_SPMin),NA())</f>
        <v>0</v>
      </c>
      <c r="N128" s="19">
        <f>IF(ISNUMBER(F128),MAX(0,MIN(1,(F128-LD_GRMin)/(LD_GRMax-LD_GRMin))),NA())</f>
        <v>0.758</v>
      </c>
      <c r="O128" s="0">
        <f>IF(ISNUMBER(F128),(F128&gt;=LD_GRB1)+(F128&gt;=LD_GRB2)+(F128&gt;=LD_GRB3)+(F128&gt;=LD_GRB4),NA())</f>
        <v>4</v>
      </c>
      <c r="P128" s="19">
        <f>IF(ISNUMBER(O128),IF(O128=0,N128,0),NA())</f>
        <v>0</v>
      </c>
      <c r="Q128" s="19">
        <f>IF(ISNUMBER(O128),IF(O128=1,N128,0),NA())</f>
        <v>0</v>
      </c>
      <c r="R128" s="19">
        <f>IF(ISNUMBER(O128),IF(O128=2,N128,0),NA())</f>
        <v>0</v>
      </c>
      <c r="S128" s="19">
        <f>IF(ISNUMBER(O128),IF(O128=3,N128,0),NA())</f>
        <v>0</v>
      </c>
      <c r="T128" s="19">
        <f>IF(ISNUMBER(O128),IF(O128=4,N128,0),NA())</f>
        <v>0.758</v>
      </c>
      <c r="U128" s="19">
        <f>IF(ISNUMBER(G128),MAX(0,MIN(1,(LOG10(G128)-LD_RLog0)/LD_RSpan)),NA())</f>
        <v>0.25734594442130243</v>
      </c>
      <c r="V128" s="19">
        <f>IF(ISNUMBER(H128),MAX(0,MIN(1,(LOG10(H128)-LD_RLog0)/LD_RSpan)),NA())</f>
        <v>0.26979531151190617</v>
      </c>
      <c r="W128" s="19">
        <f>IF(ISNUMBER(I128),MAX(0,MIN(1,(LOG10(I128)-LD_RLog0)/LD_RSpan)),NA())</f>
        <v>0.27203402217513784</v>
      </c>
    </row>
    <row r="129">
      <c r="A129" s="0">
        <v>115</v>
      </c>
      <c r="B129" s="18">
        <f>LD_Top+(A129+0.5)*LD_Step</f>
        <v>5115.5</v>
      </c>
      <c r="C129" s="0">
        <f>IF(OR(LD_N&lt;2,B129&lt;LD_First,B129&gt;LD_Last),0,MIN(MATCH(B129,LD_Depth,1),LD_N-1))</f>
        <v>232</v>
      </c>
      <c r="D129" s="19">
        <f>IF(C129=0,0,(B129-INDEX(LD_Depth,C129))/(INDEX(LD_Depth,C129+1)-INDEX(LD_Depth,C129)))</f>
        <v>0</v>
      </c>
      <c r="E129" s="0">
        <f>IF(C129=0,NA(),IF(AND(IF(ISNUMBER(INDEX(LD_SP,C129)),INDEX(LD_SP,C129)&lt;&gt;LD_Null,FALSE),OR(D129=0,IF(ISNUMBER(INDEX(LD_SP,C129+1)),INDEX(LD_SP,C129+1)&lt;&gt;LD_Null,FALSE))),IF(D129=0,INDEX(LD_SP,C129),INDEX(LD_SP,C129)+D129*(INDEX(LD_SP,C129+1)-INDEX(LD_SP,C129))),NA()))</f>
        <v>-13.7</v>
      </c>
      <c r="F129" s="0">
        <f>IF(C129=0,NA(),IF(AND(IF(ISNUMBER(INDEX(LD_GR,C129)),INDEX(LD_GR,C129)&lt;&gt;LD_Null,FALSE),OR(D129=0,IF(ISNUMBER(INDEX(LD_GR,C129+1)),INDEX(LD_GR,C129+1)&lt;&gt;LD_Null,FALSE))),IF(D129=0,INDEX(LD_GR,C129),INDEX(LD_GR,C129)+D129*(INDEX(LD_GR,C129+1)-INDEX(LD_GR,C129))),NA()))</f>
        <v>117</v>
      </c>
      <c r="G129" s="0">
        <f>IF(C129=0,NA(),IF(AND(IF(ISNUMBER(INDEX(LD_RS,C129)),AND(INDEX(LD_RS,C129)&lt;&gt;LD_Null,INDEX(LD_RS,C129)&gt;0),FALSE),OR(D129=0,IF(ISNUMBER(INDEX(LD_RS,C129+1)),AND(INDEX(LD_RS,C129+1)&lt;&gt;LD_Null,INDEX(LD_RS,C129+1)&gt;0),FALSE))),IF(D129=0,INDEX(LD_RS,C129),INDEX(LD_RS,C129)+D129*(INDEX(LD_RS,C129+1)-INDEX(LD_RS,C129))),NA()))</f>
        <v>1.97</v>
      </c>
      <c r="H129" s="0">
        <f>IF(C129=0,NA(),IF(AND(IF(ISNUMBER(INDEX(LD_RM,C129)),AND(INDEX(LD_RM,C129)&lt;&gt;LD_Null,INDEX(LD_RM,C129)&gt;0),FALSE),OR(D129=0,IF(ISNUMBER(INDEX(LD_RM,C129+1)),AND(INDEX(LD_RM,C129+1)&lt;&gt;LD_Null,INDEX(LD_RM,C129+1)&gt;0),FALSE))),IF(D129=0,INDEX(LD_RM,C129),INDEX(LD_RM,C129)+D129*(INDEX(LD_RM,C129+1)-INDEX(LD_RM,C129))),NA()))</f>
        <v>2.17</v>
      </c>
      <c r="I129" s="0">
        <f>IF(C129=0,NA(),IF(AND(IF(ISNUMBER(INDEX(LD_RD,C129)),AND(INDEX(LD_RD,C129)&lt;&gt;LD_Null,INDEX(LD_RD,C129)&gt;0),FALSE),OR(D129=0,IF(ISNUMBER(INDEX(LD_RD,C129+1)),AND(INDEX(LD_RD,C129+1)&lt;&gt;LD_Null,INDEX(LD_RD,C129+1)&gt;0),FALSE))),IF(D129=0,INDEX(LD_RD,C129),INDEX(LD_RD,C129)+D129*(INDEX(LD_RD,C129+1)-INDEX(LD_RD,C129))),NA()))</f>
        <v>2.37</v>
      </c>
      <c r="J129" s="19">
        <f>IF(ISNUMBER(F129),MAX(0,MIN(1,(F129-LD_GRClean)/(LD_GRShale-LD_GRClean))),NA())</f>
        <v>1</v>
      </c>
      <c r="K129" s="19">
        <f>IF(ISNUMBER(E129),(MAX(LD_SPMin,MIN(E129,LD_SPBase))-LD_SPMin)/(LD_SPMax-LD_SPMin),NA())</f>
        <v>0.85</v>
      </c>
      <c r="L129" s="19">
        <f>IF(ISNUMBER(E129),(LD_SPBase-MAX(LD_SPMin,MIN(E129,LD_SPBase)))/(LD_SPMax-LD_SPMin),NA())</f>
        <v>0</v>
      </c>
      <c r="M129" s="19">
        <f>IF(ISNUMBER(E129),(MIN(LD_SPMax,MAX(E129,LD_SPBase))-LD_SPBase)/(LD_SPMax-LD_SPMin),NA())</f>
        <v>0.013000000000000006</v>
      </c>
      <c r="N129" s="19">
        <f>IF(ISNUMBER(F129),MAX(0,MIN(1,(F129-LD_GRMin)/(LD_GRMax-LD_GRMin))),NA())</f>
        <v>0.78</v>
      </c>
      <c r="O129" s="0">
        <f>IF(ISNUMBER(F129),(F129&gt;=LD_GRB1)+(F129&gt;=LD_GRB2)+(F129&gt;=LD_GRB3)+(F129&gt;=LD_GRB4),NA())</f>
        <v>4</v>
      </c>
      <c r="P129" s="19">
        <f>IF(ISNUMBER(O129),IF(O129=0,N129,0),NA())</f>
        <v>0</v>
      </c>
      <c r="Q129" s="19">
        <f>IF(ISNUMBER(O129),IF(O129=1,N129,0),NA())</f>
        <v>0</v>
      </c>
      <c r="R129" s="19">
        <f>IF(ISNUMBER(O129),IF(O129=2,N129,0),NA())</f>
        <v>0</v>
      </c>
      <c r="S129" s="19">
        <f>IF(ISNUMBER(O129),IF(O129=3,N129,0),NA())</f>
        <v>0</v>
      </c>
      <c r="T129" s="19">
        <f>IF(ISNUMBER(O129),IF(O129=4,N129,0),NA())</f>
        <v>0.78</v>
      </c>
      <c r="U129" s="19">
        <f>IF(ISNUMBER(G129),MAX(0,MIN(1,(LOG10(G129)-LD_RLog0)/LD_RSpan)),NA())</f>
        <v>0.2483590576244029</v>
      </c>
      <c r="V129" s="19">
        <f>IF(ISNUMBER(H129),MAX(0,MIN(1,(LOG10(H129)-LD_RLog0)/LD_RSpan)),NA())</f>
        <v>0.2588574345461371</v>
      </c>
      <c r="W129" s="19">
        <f>IF(ISNUMBER(I129),MAX(0,MIN(1,(LOG10(I129)-LD_RLog0)/LD_RSpan)),NA())</f>
        <v>0.2684295875865307</v>
      </c>
    </row>
    <row r="130">
      <c r="A130" s="0">
        <v>116</v>
      </c>
      <c r="B130" s="18">
        <f>LD_Top+(A130+0.5)*LD_Step</f>
        <v>5116.5</v>
      </c>
      <c r="C130" s="0">
        <f>IF(OR(LD_N&lt;2,B130&lt;LD_First,B130&gt;LD_Last),0,MIN(MATCH(B130,LD_Depth,1),LD_N-1))</f>
        <v>234</v>
      </c>
      <c r="D130" s="19">
        <f>IF(C130=0,0,(B130-INDEX(LD_Depth,C130))/(INDEX(LD_Depth,C130+1)-INDEX(LD_Depth,C130)))</f>
        <v>0</v>
      </c>
      <c r="E130" s="0">
        <f>IF(C130=0,NA(),IF(AND(IF(ISNUMBER(INDEX(LD_SP,C130)),INDEX(LD_SP,C130)&lt;&gt;LD_Null,FALSE),OR(D130=0,IF(ISNUMBER(INDEX(LD_SP,C130+1)),INDEX(LD_SP,C130+1)&lt;&gt;LD_Null,FALSE))),IF(D130=0,INDEX(LD_SP,C130),INDEX(LD_SP,C130)+D130*(INDEX(LD_SP,C130+1)-INDEX(LD_SP,C130))),NA()))</f>
        <v>-15.1</v>
      </c>
      <c r="F130" s="0">
        <f>IF(C130=0,NA(),IF(AND(IF(ISNUMBER(INDEX(LD_GR,C130)),INDEX(LD_GR,C130)&lt;&gt;LD_Null,FALSE),OR(D130=0,IF(ISNUMBER(INDEX(LD_GR,C130+1)),INDEX(LD_GR,C130+1)&lt;&gt;LD_Null,FALSE))),IF(D130=0,INDEX(LD_GR,C130),INDEX(LD_GR,C130)+D130*(INDEX(LD_GR,C130+1)-INDEX(LD_GR,C130))),NA()))</f>
        <v>116</v>
      </c>
      <c r="G130" s="0">
        <f>IF(C130=0,NA(),IF(AND(IF(ISNUMBER(INDEX(LD_RS,C130)),AND(INDEX(LD_RS,C130)&lt;&gt;LD_Null,INDEX(LD_RS,C130)&gt;0),FALSE),OR(D130=0,IF(ISNUMBER(INDEX(LD_RS,C130+1)),AND(INDEX(LD_RS,C130+1)&lt;&gt;LD_Null,INDEX(LD_RS,C130+1)&gt;0),FALSE))),IF(D130=0,INDEX(LD_RS,C130),INDEX(LD_RS,C130)+D130*(INDEX(LD_RS,C130+1)-INDEX(LD_RS,C130))),NA()))</f>
        <v>1.97</v>
      </c>
      <c r="H130" s="0">
        <f>IF(C130=0,NA(),IF(AND(IF(ISNUMBER(INDEX(LD_RM,C130)),AND(INDEX(LD_RM,C130)&lt;&gt;LD_Null,INDEX(LD_RM,C130)&gt;0),FALSE),OR(D130=0,IF(ISNUMBER(INDEX(LD_RM,C130+1)),AND(INDEX(LD_RM,C130+1)&lt;&gt;LD_Null,INDEX(LD_RM,C130+1)&gt;0),FALSE))),IF(D130=0,INDEX(LD_RM,C130),INDEX(LD_RM,C130)+D130*(INDEX(LD_RM,C130+1)-INDEX(LD_RM,C130))),NA()))</f>
        <v>2.02</v>
      </c>
      <c r="I130" s="0">
        <f>IF(C130=0,NA(),IF(AND(IF(ISNUMBER(INDEX(LD_RD,C130)),AND(INDEX(LD_RD,C130)&lt;&gt;LD_Null,INDEX(LD_RD,C130)&gt;0),FALSE),OR(D130=0,IF(ISNUMBER(INDEX(LD_RD,C130+1)),AND(INDEX(LD_RD,C130+1)&lt;&gt;LD_Null,INDEX(LD_RD,C130+1)&gt;0),FALSE))),IF(D130=0,INDEX(LD_RD,C130),INDEX(LD_RD,C130)+D130*(INDEX(LD_RD,C130+1)-INDEX(LD_RD,C130))),NA()))</f>
        <v>2.26</v>
      </c>
      <c r="J130" s="19">
        <f>IF(ISNUMBER(F130),MAX(0,MIN(1,(F130-LD_GRClean)/(LD_GRShale-LD_GRClean))),NA())</f>
        <v>1</v>
      </c>
      <c r="K130" s="19">
        <f>IF(ISNUMBER(E130),(MAX(LD_SPMin,MIN(E130,LD_SPBase))-LD_SPMin)/(LD_SPMax-LD_SPMin),NA())</f>
        <v>0.8490000000000001</v>
      </c>
      <c r="L130" s="19">
        <f>IF(ISNUMBER(E130),(LD_SPBase-MAX(LD_SPMin,MIN(E130,LD_SPBase)))/(LD_SPMax-LD_SPMin),NA())</f>
        <v>0.0009999999999999966</v>
      </c>
      <c r="M130" s="19">
        <f>IF(ISNUMBER(E130),(MIN(LD_SPMax,MAX(E130,LD_SPBase))-LD_SPBase)/(LD_SPMax-LD_SPMin),NA())</f>
        <v>0</v>
      </c>
      <c r="N130" s="19">
        <f>IF(ISNUMBER(F130),MAX(0,MIN(1,(F130-LD_GRMin)/(LD_GRMax-LD_GRMin))),NA())</f>
        <v>0.7733333333333333</v>
      </c>
      <c r="O130" s="0">
        <f>IF(ISNUMBER(F130),(F130&gt;=LD_GRB1)+(F130&gt;=LD_GRB2)+(F130&gt;=LD_GRB3)+(F130&gt;=LD_GRB4),NA())</f>
        <v>4</v>
      </c>
      <c r="P130" s="19">
        <f>IF(ISNUMBER(O130),IF(O130=0,N130,0),NA())</f>
        <v>0</v>
      </c>
      <c r="Q130" s="19">
        <f>IF(ISNUMBER(O130),IF(O130=1,N130,0),NA())</f>
        <v>0</v>
      </c>
      <c r="R130" s="19">
        <f>IF(ISNUMBER(O130),IF(O130=2,N130,0),NA())</f>
        <v>0</v>
      </c>
      <c r="S130" s="19">
        <f>IF(ISNUMBER(O130),IF(O130=3,N130,0),NA())</f>
        <v>0</v>
      </c>
      <c r="T130" s="19">
        <f>IF(ISNUMBER(O130),IF(O130=4,N130,0),NA())</f>
        <v>0.7733333333333333</v>
      </c>
      <c r="U130" s="19">
        <f>IF(ISNUMBER(G130),MAX(0,MIN(1,(LOG10(G130)-LD_RLog0)/LD_RSpan)),NA())</f>
        <v>0.2483590576244029</v>
      </c>
      <c r="V130" s="19">
        <f>IF(ISNUMBER(H130),MAX(0,MIN(1,(LOG10(H130)-LD_RLog0)/LD_RSpan)),NA())</f>
        <v>0.25108034344566066</v>
      </c>
      <c r="W130" s="19">
        <f>IF(ISNUMBER(I130),MAX(0,MIN(1,(LOG10(I130)-LD_RLog0)/LD_RSpan)),NA())</f>
        <v>0.2632696108708549</v>
      </c>
    </row>
    <row r="131">
      <c r="A131" s="0">
        <v>117</v>
      </c>
      <c r="B131" s="18">
        <f>LD_Top+(A131+0.5)*LD_Step</f>
        <v>5117.5</v>
      </c>
      <c r="C131" s="0">
        <f>IF(OR(LD_N&lt;2,B131&lt;LD_First,B131&gt;LD_Last),0,MIN(MATCH(B131,LD_Depth,1),LD_N-1))</f>
        <v>236</v>
      </c>
      <c r="D131" s="19">
        <f>IF(C131=0,0,(B131-INDEX(LD_Depth,C131))/(INDEX(LD_Depth,C131+1)-INDEX(LD_Depth,C131)))</f>
        <v>0</v>
      </c>
      <c r="E131" s="0">
        <f>IF(C131=0,NA(),IF(AND(IF(ISNUMBER(INDEX(LD_SP,C131)),INDEX(LD_SP,C131)&lt;&gt;LD_Null,FALSE),OR(D131=0,IF(ISNUMBER(INDEX(LD_SP,C131+1)),INDEX(LD_SP,C131+1)&lt;&gt;LD_Null,FALSE))),IF(D131=0,INDEX(LD_SP,C131),INDEX(LD_SP,C131)+D131*(INDEX(LD_SP,C131+1)-INDEX(LD_SP,C131))),NA()))</f>
        <v>-16.1</v>
      </c>
      <c r="F131" s="0">
        <f>IF(C131=0,NA(),IF(AND(IF(ISNUMBER(INDEX(LD_GR,C131)),INDEX(LD_GR,C131)&lt;&gt;LD_Null,FALSE),OR(D131=0,IF(ISNUMBER(INDEX(LD_GR,C131+1)),INDEX(LD_GR,C131+1)&lt;&gt;LD_Null,FALSE))),IF(D131=0,INDEX(LD_GR,C131),INDEX(LD_GR,C131)+D131*(INDEX(LD_GR,C131+1)-INDEX(LD_GR,C131))),NA()))</f>
        <v>112.7</v>
      </c>
      <c r="G131" s="0">
        <f>IF(C131=0,NA(),IF(AND(IF(ISNUMBER(INDEX(LD_RS,C131)),AND(INDEX(LD_RS,C131)&lt;&gt;LD_Null,INDEX(LD_RS,C131)&gt;0),FALSE),OR(D131=0,IF(ISNUMBER(INDEX(LD_RS,C131+1)),AND(INDEX(LD_RS,C131+1)&lt;&gt;LD_Null,INDEX(LD_RS,C131+1)&gt;0),FALSE))),IF(D131=0,INDEX(LD_RS,C131),INDEX(LD_RS,C131)+D131*(INDEX(LD_RS,C131+1)-INDEX(LD_RS,C131))),NA()))</f>
        <v>1.97</v>
      </c>
      <c r="H131" s="0">
        <f>IF(C131=0,NA(),IF(AND(IF(ISNUMBER(INDEX(LD_RM,C131)),AND(INDEX(LD_RM,C131)&lt;&gt;LD_Null,INDEX(LD_RM,C131)&gt;0),FALSE),OR(D131=0,IF(ISNUMBER(INDEX(LD_RM,C131+1)),AND(INDEX(LD_RM,C131+1)&lt;&gt;LD_Null,INDEX(LD_RM,C131+1)&gt;0),FALSE))),IF(D131=0,INDEX(LD_RM,C131),INDEX(LD_RM,C131)+D131*(INDEX(LD_RM,C131+1)-INDEX(LD_RM,C131))),NA()))</f>
        <v>2.34</v>
      </c>
      <c r="I131" s="0">
        <f>IF(C131=0,NA(),IF(AND(IF(ISNUMBER(INDEX(LD_RD,C131)),AND(INDEX(LD_RD,C131)&lt;&gt;LD_Null,INDEX(LD_RD,C131)&gt;0),FALSE),OR(D131=0,IF(ISNUMBER(INDEX(LD_RD,C131+1)),AND(INDEX(LD_RD,C131+1)&lt;&gt;LD_Null,INDEX(LD_RD,C131+1)&gt;0),FALSE))),IF(D131=0,INDEX(LD_RD,C131),INDEX(LD_RD,C131)+D131*(INDEX(LD_RD,C131+1)-INDEX(LD_RD,C131))),NA()))</f>
        <v>2.56</v>
      </c>
      <c r="J131" s="19">
        <f>IF(ISNUMBER(F131),MAX(0,MIN(1,(F131-LD_GRClean)/(LD_GRShale-LD_GRClean))),NA())</f>
        <v>0.9729411764705883</v>
      </c>
      <c r="K131" s="19">
        <f>IF(ISNUMBER(E131),(MAX(LD_SPMin,MIN(E131,LD_SPBase))-LD_SPMin)/(LD_SPMax-LD_SPMin),NA())</f>
        <v>0.8390000000000001</v>
      </c>
      <c r="L131" s="19">
        <f>IF(ISNUMBER(E131),(LD_SPBase-MAX(LD_SPMin,MIN(E131,LD_SPBase)))/(LD_SPMax-LD_SPMin),NA())</f>
        <v>0.011000000000000015</v>
      </c>
      <c r="M131" s="19">
        <f>IF(ISNUMBER(E131),(MIN(LD_SPMax,MAX(E131,LD_SPBase))-LD_SPBase)/(LD_SPMax-LD_SPMin),NA())</f>
        <v>0</v>
      </c>
      <c r="N131" s="19">
        <f>IF(ISNUMBER(F131),MAX(0,MIN(1,(F131-LD_GRMin)/(LD_GRMax-LD_GRMin))),NA())</f>
        <v>0.7513333333333333</v>
      </c>
      <c r="O131" s="0">
        <f>IF(ISNUMBER(F131),(F131&gt;=LD_GRB1)+(F131&gt;=LD_GRB2)+(F131&gt;=LD_GRB3)+(F131&gt;=LD_GRB4),NA())</f>
        <v>4</v>
      </c>
      <c r="P131" s="19">
        <f>IF(ISNUMBER(O131),IF(O131=0,N131,0),NA())</f>
        <v>0</v>
      </c>
      <c r="Q131" s="19">
        <f>IF(ISNUMBER(O131),IF(O131=1,N131,0),NA())</f>
        <v>0</v>
      </c>
      <c r="R131" s="19">
        <f>IF(ISNUMBER(O131),IF(O131=2,N131,0),NA())</f>
        <v>0</v>
      </c>
      <c r="S131" s="19">
        <f>IF(ISNUMBER(O131),IF(O131=3,N131,0),NA())</f>
        <v>0</v>
      </c>
      <c r="T131" s="19">
        <f>IF(ISNUMBER(O131),IF(O131=4,N131,0),NA())</f>
        <v>0.7513333333333333</v>
      </c>
      <c r="U131" s="19">
        <f>IF(ISNUMBER(G131),MAX(0,MIN(1,(LOG10(G131)-LD_RLog0)/LD_RSpan)),NA())</f>
        <v>0.2483590576244029</v>
      </c>
      <c r="V131" s="19">
        <f>IF(ISNUMBER(H131),MAX(0,MIN(1,(LOG10(H131)-LD_RLog0)/LD_RSpan)),NA())</f>
        <v>0.2670464654365404</v>
      </c>
      <c r="W131" s="19">
        <f>IF(ISNUMBER(I131),MAX(0,MIN(1,(LOG10(I131)-LD_RLog0)/LD_RSpan)),NA())</f>
        <v>0.2768024924119671</v>
      </c>
    </row>
    <row r="132">
      <c r="A132" s="0">
        <v>118</v>
      </c>
      <c r="B132" s="18">
        <f>LD_Top+(A132+0.5)*LD_Step</f>
        <v>5118.5</v>
      </c>
      <c r="C132" s="0">
        <f>IF(OR(LD_N&lt;2,B132&lt;LD_First,B132&gt;LD_Last),0,MIN(MATCH(B132,LD_Depth,1),LD_N-1))</f>
        <v>238</v>
      </c>
      <c r="D132" s="19">
        <f>IF(C132=0,0,(B132-INDEX(LD_Depth,C132))/(INDEX(LD_Depth,C132+1)-INDEX(LD_Depth,C132)))</f>
        <v>0</v>
      </c>
      <c r="E132" s="0">
        <f>IF(C132=0,NA(),IF(AND(IF(ISNUMBER(INDEX(LD_SP,C132)),INDEX(LD_SP,C132)&lt;&gt;LD_Null,FALSE),OR(D132=0,IF(ISNUMBER(INDEX(LD_SP,C132+1)),INDEX(LD_SP,C132+1)&lt;&gt;LD_Null,FALSE))),IF(D132=0,INDEX(LD_SP,C132),INDEX(LD_SP,C132)+D132*(INDEX(LD_SP,C132+1)-INDEX(LD_SP,C132))),NA()))</f>
        <v>-14.5</v>
      </c>
      <c r="F132" s="0">
        <f>IF(C132=0,NA(),IF(AND(IF(ISNUMBER(INDEX(LD_GR,C132)),INDEX(LD_GR,C132)&lt;&gt;LD_Null,FALSE),OR(D132=0,IF(ISNUMBER(INDEX(LD_GR,C132+1)),INDEX(LD_GR,C132+1)&lt;&gt;LD_Null,FALSE))),IF(D132=0,INDEX(LD_GR,C132),INDEX(LD_GR,C132)+D132*(INDEX(LD_GR,C132+1)-INDEX(LD_GR,C132))),NA()))</f>
        <v>115.3</v>
      </c>
      <c r="G132" s="0">
        <f>IF(C132=0,NA(),IF(AND(IF(ISNUMBER(INDEX(LD_RS,C132)),AND(INDEX(LD_RS,C132)&lt;&gt;LD_Null,INDEX(LD_RS,C132)&gt;0),FALSE),OR(D132=0,IF(ISNUMBER(INDEX(LD_RS,C132+1)),AND(INDEX(LD_RS,C132+1)&lt;&gt;LD_Null,INDEX(LD_RS,C132+1)&gt;0),FALSE))),IF(D132=0,INDEX(LD_RS,C132),INDEX(LD_RS,C132)+D132*(INDEX(LD_RS,C132+1)-INDEX(LD_RS,C132))),NA()))</f>
        <v>2.07</v>
      </c>
      <c r="H132" s="0">
        <f>IF(C132=0,NA(),IF(AND(IF(ISNUMBER(INDEX(LD_RM,C132)),AND(INDEX(LD_RM,C132)&lt;&gt;LD_Null,INDEX(LD_RM,C132)&gt;0),FALSE),OR(D132=0,IF(ISNUMBER(INDEX(LD_RM,C132+1)),AND(INDEX(LD_RM,C132+1)&lt;&gt;LD_Null,INDEX(LD_RM,C132+1)&gt;0),FALSE))),IF(D132=0,INDEX(LD_RM,C132),INDEX(LD_RM,C132)+D132*(INDEX(LD_RM,C132+1)-INDEX(LD_RM,C132))),NA()))</f>
        <v>2.29</v>
      </c>
      <c r="I132" s="0">
        <f>IF(C132=0,NA(),IF(AND(IF(ISNUMBER(INDEX(LD_RD,C132)),AND(INDEX(LD_RD,C132)&lt;&gt;LD_Null,INDEX(LD_RD,C132)&gt;0),FALSE),OR(D132=0,IF(ISNUMBER(INDEX(LD_RD,C132+1)),AND(INDEX(LD_RD,C132+1)&lt;&gt;LD_Null,INDEX(LD_RD,C132+1)&gt;0),FALSE))),IF(D132=0,INDEX(LD_RD,C132),INDEX(LD_RD,C132)+D132*(INDEX(LD_RD,C132+1)-INDEX(LD_RD,C132))),NA()))</f>
        <v>2.48</v>
      </c>
      <c r="J132" s="19">
        <f>IF(ISNUMBER(F132),MAX(0,MIN(1,(F132-LD_GRClean)/(LD_GRShale-LD_GRClean))),NA())</f>
        <v>1</v>
      </c>
      <c r="K132" s="19">
        <f>IF(ISNUMBER(E132),(MAX(LD_SPMin,MIN(E132,LD_SPBase))-LD_SPMin)/(LD_SPMax-LD_SPMin),NA())</f>
        <v>0.85</v>
      </c>
      <c r="L132" s="19">
        <f>IF(ISNUMBER(E132),(LD_SPBase-MAX(LD_SPMin,MIN(E132,LD_SPBase)))/(LD_SPMax-LD_SPMin),NA())</f>
        <v>0</v>
      </c>
      <c r="M132" s="19">
        <f>IF(ISNUMBER(E132),(MIN(LD_SPMax,MAX(E132,LD_SPBase))-LD_SPBase)/(LD_SPMax-LD_SPMin),NA())</f>
        <v>0.005</v>
      </c>
      <c r="N132" s="19">
        <f>IF(ISNUMBER(F132),MAX(0,MIN(1,(F132-LD_GRMin)/(LD_GRMax-LD_GRMin))),NA())</f>
        <v>0.7686666666666666</v>
      </c>
      <c r="O132" s="0">
        <f>IF(ISNUMBER(F132),(F132&gt;=LD_GRB1)+(F132&gt;=LD_GRB2)+(F132&gt;=LD_GRB3)+(F132&gt;=LD_GRB4),NA())</f>
        <v>4</v>
      </c>
      <c r="P132" s="19">
        <f>IF(ISNUMBER(O132),IF(O132=0,N132,0),NA())</f>
        <v>0</v>
      </c>
      <c r="Q132" s="19">
        <f>IF(ISNUMBER(O132),IF(O132=1,N132,0),NA())</f>
        <v>0</v>
      </c>
      <c r="R132" s="19">
        <f>IF(ISNUMBER(O132),IF(O132=2,N132,0),NA())</f>
        <v>0</v>
      </c>
      <c r="S132" s="19">
        <f>IF(ISNUMBER(O132),IF(O132=3,N132,0),NA())</f>
        <v>0</v>
      </c>
      <c r="T132" s="19">
        <f>IF(ISNUMBER(O132),IF(O132=4,N132,0),NA())</f>
        <v>0.7686666666666666</v>
      </c>
      <c r="U132" s="19">
        <f>IF(ISNUMBER(G132),MAX(0,MIN(1,(LOG10(G132)-LD_RLog0)/LD_RSpan)),NA())</f>
        <v>0.25373508744823414</v>
      </c>
      <c r="V132" s="19">
        <f>IF(ISNUMBER(H132),MAX(0,MIN(1,(LOG10(H132)-LD_RLog0)/LD_RSpan)),NA())</f>
        <v>0.26470137166897667</v>
      </c>
      <c r="W132" s="19">
        <f>IF(ISNUMBER(I132),MAX(0,MIN(1,(LOG10(I132)-LD_RLog0)/LD_RSpan)),NA())</f>
        <v>0.2733554212905588</v>
      </c>
    </row>
    <row r="133">
      <c r="A133" s="0">
        <v>119</v>
      </c>
      <c r="B133" s="18">
        <f>LD_Top+(A133+0.5)*LD_Step</f>
        <v>5119.5</v>
      </c>
      <c r="C133" s="0">
        <f>IF(OR(LD_N&lt;2,B133&lt;LD_First,B133&gt;LD_Last),0,MIN(MATCH(B133,LD_Depth,1),LD_N-1))</f>
        <v>240</v>
      </c>
      <c r="D133" s="19">
        <f>IF(C133=0,0,(B133-INDEX(LD_Depth,C133))/(INDEX(LD_Depth,C133+1)-INDEX(LD_Depth,C133)))</f>
        <v>0</v>
      </c>
      <c r="E133" s="0">
        <f>IF(C133=0,NA(),IF(AND(IF(ISNUMBER(INDEX(LD_SP,C133)),INDEX(LD_SP,C133)&lt;&gt;LD_Null,FALSE),OR(D133=0,IF(ISNUMBER(INDEX(LD_SP,C133+1)),INDEX(LD_SP,C133+1)&lt;&gt;LD_Null,FALSE))),IF(D133=0,INDEX(LD_SP,C133),INDEX(LD_SP,C133)+D133*(INDEX(LD_SP,C133+1)-INDEX(LD_SP,C133))),NA()))</f>
        <v>-14.1</v>
      </c>
      <c r="F133" s="0">
        <f>IF(C133=0,NA(),IF(AND(IF(ISNUMBER(INDEX(LD_GR,C133)),INDEX(LD_GR,C133)&lt;&gt;LD_Null,FALSE),OR(D133=0,IF(ISNUMBER(INDEX(LD_GR,C133+1)),INDEX(LD_GR,C133+1)&lt;&gt;LD_Null,FALSE))),IF(D133=0,INDEX(LD_GR,C133),INDEX(LD_GR,C133)+D133*(INDEX(LD_GR,C133+1)-INDEX(LD_GR,C133))),NA()))</f>
        <v>115.3</v>
      </c>
      <c r="G133" s="0">
        <f>IF(C133=0,NA(),IF(AND(IF(ISNUMBER(INDEX(LD_RS,C133)),AND(INDEX(LD_RS,C133)&lt;&gt;LD_Null,INDEX(LD_RS,C133)&gt;0),FALSE),OR(D133=0,IF(ISNUMBER(INDEX(LD_RS,C133+1)),AND(INDEX(LD_RS,C133+1)&lt;&gt;LD_Null,INDEX(LD_RS,C133+1)&gt;0),FALSE))),IF(D133=0,INDEX(LD_RS,C133),INDEX(LD_RS,C133)+D133*(INDEX(LD_RS,C133+1)-INDEX(LD_RS,C133))),NA()))</f>
        <v>2.02</v>
      </c>
      <c r="H133" s="0">
        <f>IF(C133=0,NA(),IF(AND(IF(ISNUMBER(INDEX(LD_RM,C133)),AND(INDEX(LD_RM,C133)&lt;&gt;LD_Null,INDEX(LD_RM,C133)&gt;0),FALSE),OR(D133=0,IF(ISNUMBER(INDEX(LD_RM,C133+1)),AND(INDEX(LD_RM,C133+1)&lt;&gt;LD_Null,INDEX(LD_RM,C133+1)&gt;0),FALSE))),IF(D133=0,INDEX(LD_RM,C133),INDEX(LD_RM,C133)+D133*(INDEX(LD_RM,C133+1)-INDEX(LD_RM,C133))),NA()))</f>
        <v>2.07</v>
      </c>
      <c r="I133" s="0">
        <f>IF(C133=0,NA(),IF(AND(IF(ISNUMBER(INDEX(LD_RD,C133)),AND(INDEX(LD_RD,C133)&lt;&gt;LD_Null,INDEX(LD_RD,C133)&gt;0),FALSE),OR(D133=0,IF(ISNUMBER(INDEX(LD_RD,C133+1)),AND(INDEX(LD_RD,C133+1)&lt;&gt;LD_Null,INDEX(LD_RD,C133+1)&gt;0),FALSE))),IF(D133=0,INDEX(LD_RD,C133),INDEX(LD_RD,C133)+D133*(INDEX(LD_RD,C133+1)-INDEX(LD_RD,C133))),NA()))</f>
        <v>2.22</v>
      </c>
      <c r="J133" s="19">
        <f>IF(ISNUMBER(F133),MAX(0,MIN(1,(F133-LD_GRClean)/(LD_GRShale-LD_GRClean))),NA())</f>
        <v>1</v>
      </c>
      <c r="K133" s="19">
        <f>IF(ISNUMBER(E133),(MAX(LD_SPMin,MIN(E133,LD_SPBase))-LD_SPMin)/(LD_SPMax-LD_SPMin),NA())</f>
        <v>0.85</v>
      </c>
      <c r="L133" s="19">
        <f>IF(ISNUMBER(E133),(LD_SPBase-MAX(LD_SPMin,MIN(E133,LD_SPBase)))/(LD_SPMax-LD_SPMin),NA())</f>
        <v>0</v>
      </c>
      <c r="M133" s="19">
        <f>IF(ISNUMBER(E133),(MIN(LD_SPMax,MAX(E133,LD_SPBase))-LD_SPBase)/(LD_SPMax-LD_SPMin),NA())</f>
        <v>0.009000000000000003</v>
      </c>
      <c r="N133" s="19">
        <f>IF(ISNUMBER(F133),MAX(0,MIN(1,(F133-LD_GRMin)/(LD_GRMax-LD_GRMin))),NA())</f>
        <v>0.7686666666666666</v>
      </c>
      <c r="O133" s="0">
        <f>IF(ISNUMBER(F133),(F133&gt;=LD_GRB1)+(F133&gt;=LD_GRB2)+(F133&gt;=LD_GRB3)+(F133&gt;=LD_GRB4),NA())</f>
        <v>4</v>
      </c>
      <c r="P133" s="19">
        <f>IF(ISNUMBER(O133),IF(O133=0,N133,0),NA())</f>
        <v>0</v>
      </c>
      <c r="Q133" s="19">
        <f>IF(ISNUMBER(O133),IF(O133=1,N133,0),NA())</f>
        <v>0</v>
      </c>
      <c r="R133" s="19">
        <f>IF(ISNUMBER(O133),IF(O133=2,N133,0),NA())</f>
        <v>0</v>
      </c>
      <c r="S133" s="19">
        <f>IF(ISNUMBER(O133),IF(O133=3,N133,0),NA())</f>
        <v>0</v>
      </c>
      <c r="T133" s="19">
        <f>IF(ISNUMBER(O133),IF(O133=4,N133,0),NA())</f>
        <v>0.7686666666666666</v>
      </c>
      <c r="U133" s="19">
        <f>IF(ISNUMBER(G133),MAX(0,MIN(1,(LOG10(G133)-LD_RLog0)/LD_RSpan)),NA())</f>
        <v>0.25108034344566066</v>
      </c>
      <c r="V133" s="19">
        <f>IF(ISNUMBER(H133),MAX(0,MIN(1,(LOG10(H133)-LD_RLog0)/LD_RSpan)),NA())</f>
        <v>0.25373508744823414</v>
      </c>
      <c r="W133" s="19">
        <f>IF(ISNUMBER(I133),MAX(0,MIN(1,(LOG10(I133)-LD_RLog0)/LD_RSpan)),NA())</f>
        <v>0.26133074469666434</v>
      </c>
    </row>
  </sheetData>
  <mergeCells>
    <mergeCell ref="A2:H2"/>
  </mergeCells>
  <pageSetup orientation="landscape" fitToWidth="1" fitToHeight="0"/>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2020-01-01T00:00:00Z</dcterms:created>
  <dcterms:modified xsi:type="dcterms:W3CDTF">2020-01-01T00:00:00Z</dcterms:modified>
  <cp:keywords>EPPlus noncommercial use</cp:keywords>
  <dc:description>This workbook has been created with EPPlus licensed to PetroleumOffice under The Polyform Noncommercial License: See https://polyformproject.org/licenses/noncommercial/1.0.0</dc:description>
  <dc:creator>PetroleumOffice</dc:creator>
</cp:coreProperties>
</file>

<file path=docProps/custom.xml><?xml version="1.0" encoding="utf-8"?>
<Properties xmlns:vt="http://schemas.openxmlformats.org/officeDocument/2006/docPropsVTypes" xmlns="http://schemas.openxmlformats.org/officeDocument/2006/custom-properties"/>
</file>