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styles+xml" PartName="/xl/styles.xml"/>
  <Override ContentType="application/vnd.openxmlformats-officedocument.drawing+xml" PartName="/xl/drawings/drawing3.xml"/>
  <Override ContentType="application/vnd.openxmlformats-officedocument.drawingml.chart+xml" PartName="/xl/charts/chart1.xml"/>
  <Override ContentType="application/vnd.openxmlformats-officedocument.drawing+xml" PartName="/xl/drawings/drawing5.xml"/>
  <Override ContentType="application/vnd.openxmlformats-officedocument.drawingml.chart+xml" PartName="/xl/charts/chart2.xml"/>
  <Override ContentType="application/vnd.openxmlformats-officedocument.drawingml.chart+xml" PartName="/xl/charts/chart3.xml"/>
  <Override ContentType="application/vnd.openxmlformats-officedocument.drawing+xml" PartName="/xl/drawings/drawing6.xml"/>
  <Override ContentType="application/vnd.openxmlformats-officedocument.drawingml.chart+xml" PartName="/xl/charts/chart4.xml"/>
  <Override ContentType="application/vnd.openxmlformats-package.core-properties+xml" PartName="/docProps/core.xml"/>
  <Override ContentType="application/vnd.openxmlformats-officedocument.extended-properties+xml" PartName="/docProps/app.xml"/>
  <Override ContentType="application/vnd.openxmlformats-officedocument.custom-properties+xml" PartName="/docProps/custom.xml"/>
  <Override ContentType="text/plain" PartName="/EPPlusLicense.txt"/>
  <Override ContentType="application/vnd.openxmlformats-officedocument.spreadsheetml.sheetMetadata+xml" PartName="/xl/metadata.xml"/>
  <Override ContentType="application/vnd.ms-excel.rdrichvaluetypes+xml" PartName="/xl/richData/rdRichValueTypes.xml"/>
  <Override ContentType="application/vnd.ms-excel.rdrichvaluestructure+xml" PartName="/xl/richData/rdrichvaluestructure.xml"/>
  <Override ContentType="application/vnd.ms-excel.rdrichvalue+xml" PartName="/xl/richData/rdrichvalue.xml"/>
  <Override ContentType="application/vnd.ms-excel.rdarray+xml" PartName="/xl/richData/rdarray.xml"/>
  <Override ContentType="application/vnd.openxmlformats-officedocument.spreadsheetml.sharedStrings+xml" PartName="/x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r="http://schemas.openxmlformats.org/officeDocument/2006/relationships" xmlns="http://schemas.openxmlformats.org/spreadsheetml/2006/main">
  <fileVersion appName="xl" lastEdited="7" lowestEdited="7"/>
  <bookViews>
    <workbookView/>
  </bookViews>
  <sheets>
    <sheet name="Guide" sheetId="1" r:id="rId1"/>
    <sheet name="Inputs" sheetId="2" r:id="rId2"/>
    <sheet name="Pump Curve" sheetId="3" r:id="rId3"/>
    <sheet name="Design" sheetId="4" r:id="rId4"/>
    <sheet name="Performance Chart" sheetId="5" r:id="rId5"/>
    <sheet name="VSD Chart" sheetId="6" r:id="rId6"/>
    <sheet name="Calc" sheetId="7" r:id="rId7"/>
  </sheets>
  <definedNames>
    <definedName name="_xlnm.Print_Area" localSheetId="4">'Performance Chart'!$A$1:$L$46</definedName>
    <definedName name="_xlnm.Print_Area" localSheetId="5">'VSD Chart'!$A$1:$A$33</definedName>
    <definedName name="DWS_BHPop">Calc!$B$24</definedName>
    <definedName name="DWS_Cases">Inputs!$B$34:$F$34</definedName>
    <definedName name="DWS_CasingID">Inputs!$B$28</definedName>
    <definedName name="DWS_CurveEff">'Pump Curve'!$D$11:$D$22</definedName>
    <definedName name="DWS_CurveH">'Pump Curve'!$B$11:$B$22</definedName>
    <definedName name="DWS_CurveP">'Pump Curve'!$C$11:$C$22</definedName>
    <definedName name="DWS_CurveQ">'Pump Curve'!$A$11:$A$22</definedName>
    <definedName name="DWS_dZ">Inputs!$B$13</definedName>
    <definedName name="DWS_EffBEP">'Pump Curve'!$B$26</definedName>
    <definedName name="DWS_EffOp">Calc!$B$25</definedName>
    <definedName name="DWS_F">Calc!$B$19</definedName>
    <definedName name="DWS_Fbase">Inputs!$B$20</definedName>
    <definedName name="DWS_FlowID">Inputs!$B$15</definedName>
    <definedName name="DWS_FlowL">Inputs!$B$16</definedName>
    <definedName name="DWS_FreqSet">Inputs!$B$21</definedName>
    <definedName name="DWS_FTarget">Calc!$B$18</definedName>
    <definedName name="DWS_Grad">Calc!$B$6</definedName>
    <definedName name="DWS_GridTop">Calc!$B$21</definedName>
    <definedName name="DWS_HfT">Calc!$B$11</definedName>
    <definedName name="DWS_HInj">Calc!$B$10</definedName>
    <definedName name="DWS_HSink">Calc!$B$9</definedName>
    <definedName name="DWS_Hst">Calc!$B$8</definedName>
    <definedName name="DWS_HstFlag">Calc!$B$29</definedName>
    <definedName name="DWS_HStgT">Calc!$B$15</definedName>
    <definedName name="DWS_II">Inputs!$B$12</definedName>
    <definedName name="DWS_Kq">Calc!$B$14</definedName>
    <definedName name="DWS_MotorHP">Inputs!$B$25</definedName>
    <definedName name="DWS_MotorOD">Inputs!$B$27</definedName>
    <definedName name="DWS_N">Calc!$B$17</definedName>
    <definedName name="DWS_PackerRating">Inputs!$B$31</definedName>
    <definedName name="DWS_Pdr">Inputs!$B$9</definedName>
    <definedName name="DWS_PI">Inputs!$B$10</definedName>
    <definedName name="DWS_Pinj">Inputs!$B$11</definedName>
    <definedName name="DWS_PinjSt">Calc!$B$7</definedName>
    <definedName name="DWS_PumpModel">'Pump Curve'!$B$5</definedName>
    <definedName name="DWS_Q">Inputs!$B$5</definedName>
    <definedName name="DWS_QBEP">'Pump Curve'!$B$25</definedName>
    <definedName name="DWS_Qd">Calc!$B$5</definedName>
    <definedName name="DWS_Qmax">'Pump Curve'!$B$7</definedName>
    <definedName name="DWS_Qmin">'Pump Curve'!$B$6</definedName>
    <definedName name="DWS_Qop">Calc!$B$22</definedName>
    <definedName name="DWS_R">Calc!$B$20</definedName>
    <definedName name="DWS_SF">Inputs!$B$26</definedName>
    <definedName name="DWS_SG">Inputs!$B$7</definedName>
    <definedName name="DWS_SGFlag">Calc!$B$28</definedName>
    <definedName name="DWS_Shaft">Inputs!$B$30</definedName>
    <definedName name="DWS_Sink">Inputs!$B$6</definedName>
    <definedName name="DWS_SinkOp">Calc!$B$27</definedName>
    <definedName name="DWS_SinkShare">Calc!$B$26</definedName>
    <definedName name="DWS_StagesReq">Calc!$B$16</definedName>
    <definedName name="DWS_StagesSet">Inputs!$B$22</definedName>
    <definedName name="DWS_TDH">Calc!$B$13</definedName>
    <definedName name="DWS_TDHKnown">Inputs!$B$17</definedName>
    <definedName name="DWS_TDHLoop">Calc!$B$12</definedName>
    <definedName name="DWS_TDHop">Calc!$B$23</definedName>
    <definedName name="DWS_Temp">Inputs!$B$29</definedName>
    <definedName name="DWS_VsdF">Inputs!$B$35:$H$35</definedName>
    <definedName name="PO.ESP.Affinity.Head" comment="Affinity law: head at frequency f from the head at f_base, [ft]">_xlfn.LAMBDA(_xlpm.h, _xlpm.f, _xlpm.f_base, _xlpm.h*(_xlpm.f/_xlpm.f_base)^2)</definedName>
    <definedName name="PO.ESP.Affinity.Power" comment="Affinity law: power at frequency f from the power at f_base, [HP]">_xlfn.LAMBDA(_xlpm.p, _xlpm.f, _xlpm.f_base, _xlpm.p*(_xlpm.f/_xlpm.f_base)^3)</definedName>
    <definedName name="PO.ESP.Affinity.Rate" comment="Affinity law: rate at frequency f from the rate at f_base, [bbl/d]">_xlfn.LAMBDA(_xlpm.q, _xlpm.f, _xlpm.f_base, _xlpm.q*_xlpm.f/_xlpm.f_base)</definedName>
    <definedName name="PO.ESP.Curve.HeadAtSpeed" comment="Head per stage at rate q and frequency f from a catalog curve at f_base (0 beyond run-out), [ft/stage]">_xlfn.LAMBDA(_xlpm.q, _xlpm.f, _xlpm.f_base, _xlpm.curve_q, _xlpm.curve_head, IF(_xlpm.q*_xlpm.f_base/_xlpm.f&gt;MAX(_xlpm.curve_q), 0, PO.ESP.Affinity.Head(PO.ESP.Curve.Head(_xlpm.q*_xlpm.f_base/_xlpm.f, _xlpm.curve_q, _xlpm.curve_head), _xlpm.f, _xlpm.f_base)))</definedName>
    <definedName name="PO.ESP.Curve.PowerAtSpeed" comment="Brake power per stage (water) at rate q and frequency f from a catalog curve at f_base (#N/A beyond run-out), [HP/stage]">_xlfn.LAMBDA(_xlpm.q, _xlpm.f, _xlpm.f_base, _xlpm.curve_q, _xlpm.curve_hp, IF(_xlpm.q*_xlpm.f_base/_xlpm.f&gt;MAX(_xlpm.curve_q), NA(), PO.ESP.Affinity.Power(PO.ESP.Curve.Power(_xlpm.q*_xlpm.f_base/_xlpm.f, _xlpm.curve_q, _xlpm.curve_hp), _xlpm.f, _xlpm.f_base)))</definedName>
    <definedName name="PO.ESP.DWS.TDH" comment="Total dynamic head of a downhole water sink loop: drain q through PI at p_drain, re-inject through II at p_inj, dz ft deeper, [ft]">_xlfn.LAMBDA(_xlpm.q, _xlpm.p_drain, _xlpm.pi_drain, _xlpm.p_inj, _xlpm.ii_inj, _xlpm.dz, _xlpm.sg, _xlpm.h_fric, PO.ESP.Head.FromPressure((_xlpm.p_inj + _xlpm.q/_xlpm.ii_inj) - (_xlpm.p_drain - _xlpm.q/_xlpm.pi_drain), _xlpm.sg) - _xlpm.dz + _xlpm.h_fric)</definedName>
    <definedName name="PO.ESP.Motor.CoolingVelocity" comment="Fluid velocity in the annulus past the motor, [ft/s]">_xlfn.LAMBDA(_xlpm.q, _xlpm.casing_id, _xlpm.motor_od, 0.0119*_xlpm.q/(_xlpm.casing_id^2 - _xlpm.motor_od^2))</definedName>
    <definedName name="PO.ESP.Shaft.Thrust" comment="Hydraulic thrust on the pump shaft from the pump differential pressure, [lbf]">_xlfn.LAMBDA(_xlpm.dp, _xlpm.d_shaft, _xlpm.dp*PI()/4*_xlpm.d_shaft^2)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<sst xmlns="http://schemas.openxmlformats.org/spreadsheetml/2006/main" count="223" uniqueCount="223">
  <si>
    <t>Inverted ESP Sizing — Downhole Water Sink / Downhole Water Loop</t>
  </si>
  <si>
    <t>What this workbook does</t>
  </si>
  <si>
    <t>Sizes an electric submersible pump that runs inverted in a downhole water sink (DWS) or downhole water loop (DWL) completion. Water is drained from the water zone below the oil–water contact, boosted by the pump and re-injected into the base of the same aquifer through an isolation packer. Nothing is lifted to surface, so well depth drops out of the sizing: the pump only overcomes the drawdown at the drainage completion, the pressure build-up at the injection completion and a short friction path.</t>
  </si>
  <si>
    <t>It returns the design TDH, stage count, brake horsepower, best efficiency point (BEP) and efficiency at the operating point, the drive frequency that delivers each target rate, motor loading and the inverted-service checks, plus two printable charts: the pump performance curve with the system curve, and the variable-speed (tornado) chart.</t>
  </si>
  <si>
    <t>Loop hydraulics</t>
  </si>
  <si>
    <t>TDH(Q) = [ (P_inj + Q / II) − (P_drain − Q / PI) ] / (0.433 × SG) − ΔZ + h_friction(Q), where P_drain and P_inj are the static pressures at the drainage and injection perforations, PI and II the drainage productivity index and the injectivity index, and ΔZ the vertical distance from the drainage perforations down to the injection perforations.</t>
  </si>
  <si>
    <t>In one hydraulically connected aquifer P_inj − P_drain = 0.433 × SG × ΔZ, the static terms cancel and TDH ≈ Q × (1/PI + 1/II) / (0.433 × SG): a straight line through the origin. The system curve is always built as static head + (coefficient × Q) + friction(Q). If you enter a known TDH, the coefficient is calibrated so the curve passes through your TDH at the design rate.</t>
  </si>
  <si>
    <t>Why the TDH is about twice the sink</t>
  </si>
  <si>
    <t>The pump lifts water from the drainage flowing pressure (P_drain − Q/PI) to the injection flowing pressure (P_inj + Q/II), so it pays for both ends of the loop: the sink it makes at the drain, and the build-up it needs to push the same water into the injection zone. With II close to PI the two are equal.</t>
  </si>
  <si>
    <t>Example: 2,500 bbl/d with PI = II = 22.2 bbl/d/psi and SG 1.07 in one aquifer. The sink is 2,500 / 22.2 = 113 psi, which is 243 ft of this water, and re-injecting takes another 113 psi, or 243 ft. The design TDH is therefore about 486 ft plus friction: twice the sink head. Put the other way, a pump making 243 ft in this loop creates a sink of only about 56 psi. The Design sheet splits the TDH into sink head, injection head, static head and friction, all in feet, and shows the share of the head that goes into the sink.</t>
  </si>
  <si>
    <t>How to use it</t>
  </si>
  <si>
    <t xml:space="preserve">1.  Inputs — edit the blue cells on a yellow background; every other cell is calculated. Design either by rate (the target water rate) or by sink: enter the drawdown you want below static at the drainage perforations, and the design rate becomes PI × sink. Two checks sit beside the inputs: the SG against a plausible brine range (SG is not the psi/ft gradient), and the static head between the zones, which is about zero when both perforation sets are in one connected aquifer. Enter 0 for the injection zone static pressure to compute it for that case.</t>
  </si>
  <si>
    <t xml:space="preserve">2.  Pump Curve — replace the EXAMPLE curve with the vendor's single-stage curve: 12 points, ascending rate from shut-in to run-out, head and brake horsepower per stage for water (SG 1.0) at the catalog frequency on the Inputs sheet. Enter the vendor's recommended operating range for the pump.</t>
  </si>
  <si>
    <t xml:space="preserve">3.  Design — the sizing summary. Stages are set at the catalog frequency and the drive frequency is then solved so the pump delivers exactly the design rate (or enter a design frequency on the Inputs sheet). The rate-case table shows the frequency, loading and range check for each rate case.</t>
  </si>
  <si>
    <t xml:space="preserve">4.  Performance Chart and VSD Chart — both are set up to print on one page (File › Print).</t>
  </si>
  <si>
    <t>Choosing the sink</t>
  </si>
  <si>
    <t xml:space="preserve">•  A stronger sink is not always better. A drainage sink much stronger than the oil completion's drawdown pulls oil down into the water drain (reverse coning) and sends it to the injection zone; one too weak lets water cone up into the oil completion. The sinks that keep both completions clean form the inflow performance window of the downhole water sink literature (Wojtanowicz and co-workers). This workbook sizes the pump for the sink or rate you choose; it does not compute that window, so check the sink with a coning analysis or a near-well model first.</t>
  </si>
  <si>
    <t>Inverted-service notes</t>
  </si>
  <si>
    <t xml:space="preserve">•  Thrust: inverting the pump puts impeller weight against the hydraulic thrust. Prefer compression (fixed-impeller) stages, size the protector thrust bearing for the load on the Design sheet in both directions, and ask the vendor for the recommended operating range in inverted service.</t>
  </si>
  <si>
    <t xml:space="preserve">•  Motor cooling: with the motor on top, drainage water must flow down past it. Keep the annular velocity at 1 ft/s or more; if the motor sits in a dead leg, fit a shroud.</t>
  </si>
  <si>
    <t xml:space="preserve">•  Packer: the packer below the pump carries the pump differential pressure from below, plus start/stop surges.</t>
  </si>
  <si>
    <t xml:space="preserve">•  Injectivity: injectivity usually declines with oil carry-over and solids. Size for the end-of-life injectivity index, and stay below the injection zone fracture pressure. PI and II from separate tests ignore sink–source interference, which normally makes the computed head conservative.</t>
  </si>
  <si>
    <t xml:space="preserve">•  Gauges: the discharge sits below the intake, so a gauge-to-gauge pressure difference also includes the fluid column over the pump length.</t>
  </si>
  <si>
    <t>Requirements</t>
  </si>
  <si>
    <t>The workbook calls Petroleum Office functions (PO.ESP.*) and defines eight LAMBDA functions (Formulas › Name Manager: PO.ESP.DWS.TDH, PO.ESP.Affinity.Rate/Head/Power, PO.ESP.Curve.HeadAtSpeed/PowerAtSpeed, PO.ESP.Motor.CoolingVelocity, PO.ESP.Shaft.Thrust). It opens with the example results already calculated; recalculating after an edit needs the Petroleum Office add-in and an Excel version with LAMBDA (Microsoft 365 or Excel 2024).</t>
  </si>
  <si>
    <t>Inputs</t>
  </si>
  <si>
    <t>Blue cells on a yellow background are inputs; everything else in the workbook recalculates from them and from the Pump Curve sheet. Field units. The defaults describe an example same-aquifer loop.</t>
  </si>
  <si>
    <t>Target water rate (drainage = injection)</t>
  </si>
  <si>
    <t>bbl/d</t>
  </si>
  <si>
    <t>The design rate unless a target sink is set</t>
  </si>
  <si>
    <t>Target sink at the drainage perforations (0 = design by rate)</t>
  </si>
  <si>
    <t>psi</t>
  </si>
  <si>
    <t>Drawdown below static you want at the drain; the design rate becomes PI × sink</t>
  </si>
  <si>
    <t>Water specific gravity</t>
  </si>
  <si>
    <t>—</t>
  </si>
  <si>
    <t>Water pressure gradient (from SG)</t>
  </si>
  <si>
    <t>psi/ft</t>
  </si>
  <si>
    <t>Calculated: 0.433 × SG. Enter the SG above, not this</t>
  </si>
  <si>
    <t>Drainage zone static pressure</t>
  </si>
  <si>
    <t>At the drainage (water-sink) perforations</t>
  </si>
  <si>
    <t>Drainage productivity index</t>
  </si>
  <si>
    <t>bbl/d/psi</t>
  </si>
  <si>
    <t>Drainage perforations</t>
  </si>
  <si>
    <t>Injection zone static pressure (0 = same aquifer as the drain)</t>
  </si>
  <si>
    <t>At the injection perforations; 0 computes P_drain + gradient × ΔZ</t>
  </si>
  <si>
    <t>Injectivity index</t>
  </si>
  <si>
    <t>Use the end-of-life value — injectivity usually declines</t>
  </si>
  <si>
    <t>Vertical distance, drainage to injection perforations</t>
  </si>
  <si>
    <t>ft</t>
  </si>
  <si>
    <t>Positive when injection is deeper</t>
  </si>
  <si>
    <t>Static head between zones (≈ 0 in one aquifer)</t>
  </si>
  <si>
    <t>Flow-path ID, pump discharge to injection perforations</t>
  </si>
  <si>
    <t>in</t>
  </si>
  <si>
    <t>Stinger / tailpipe bore</t>
  </si>
  <si>
    <t>Flow-path length</t>
  </si>
  <si>
    <t>Pump discharge to injection perforations</t>
  </si>
  <si>
    <t>Known TDH at the design rate (0 = use loop hydraulics)</t>
  </si>
  <si>
    <t>Overrides the hydraulic TDH and calibrates the system curve</t>
  </si>
  <si>
    <t>Pump and drive</t>
  </si>
  <si>
    <t>Catalog curve frequency</t>
  </si>
  <si>
    <t>Hz</t>
  </si>
  <si>
    <t>Frequency of the curve on the Pump Curve sheet</t>
  </si>
  <si>
    <t>Design frequency (0 = frequency that delivers the design rate)</t>
  </si>
  <si>
    <t>Fixed-speed design: enter the supply frequency</t>
  </si>
  <si>
    <t>Stages installed (0 = minimum at catalog frequency)</t>
  </si>
  <si>
    <t>stages</t>
  </si>
  <si>
    <t>Enter the stage count of a candidate pump to check it</t>
  </si>
  <si>
    <t>Motor and installation</t>
  </si>
  <si>
    <t>Motor nameplate power at catalog frequency</t>
  </si>
  <si>
    <t>HP</t>
  </si>
  <si>
    <t>Available power scales with frequency on a VSD</t>
  </si>
  <si>
    <t>Motor sizing safety factor</t>
  </si>
  <si>
    <t>Minimum motor power = BHP × factor</t>
  </si>
  <si>
    <t>Motor OD</t>
  </si>
  <si>
    <t>Casing (or shroud) ID at the motor</t>
  </si>
  <si>
    <t>7 in 26 lb/ft casing</t>
  </si>
  <si>
    <t>Water temperature at the motor</t>
  </si>
  <si>
    <t>degF</t>
  </si>
  <si>
    <t>Pump shaft diameter</t>
  </si>
  <si>
    <t>For the shaft thrust estimate</t>
  </si>
  <si>
    <t>Packer differential pressure rating</t>
  </si>
  <si>
    <t>Rate cases and chart frequencies</t>
  </si>
  <si>
    <t>Rate cases</t>
  </si>
  <si>
    <t>VSD chart frequencies</t>
  </si>
  <si>
    <t>Pump Curve — one stage at catalog frequency</t>
  </si>
  <si>
    <t>EXAMPLE DATA — replace with the vendor's single-stage curve: 12 points, ascending rate from shut-in to run-out, head and brake horsepower per stage for water (SG 1.0) at the catalog frequency on the Inputs sheet. Efficiency is calculated from head and power.</t>
  </si>
  <si>
    <t>Pump</t>
  </si>
  <si>
    <t>Pump model</t>
  </si>
  <si>
    <t>Generic 538-series mixed-flow stage (EXAMPLE)</t>
  </si>
  <si>
    <t>Recommended range — minimum rate</t>
  </si>
  <si>
    <t>Recommended range — maximum rate</t>
  </si>
  <si>
    <t>Single-stage performance</t>
  </si>
  <si>
    <t>Rate (bbl/d)</t>
  </si>
  <si>
    <t>Head (ft/stage)</t>
  </si>
  <si>
    <t>BHP (HP/stage)</t>
  </si>
  <si>
    <t>Efficiency</t>
  </si>
  <si>
    <t>Curve summary</t>
  </si>
  <si>
    <t>Best efficiency point (BEP) rate</t>
  </si>
  <si>
    <t>Efficiency at BEP</t>
  </si>
  <si>
    <t>Head per stage at BEP</t>
  </si>
  <si>
    <t>ft/stage</t>
  </si>
  <si>
    <t>Recommended range as % of BEP</t>
  </si>
  <si>
    <t>Design Summary — inverted ESP for a downhole water sink</t>
  </si>
  <si>
    <t>Everything on this sheet recalculates from the Inputs and Pump Curve sheets.</t>
  </si>
  <si>
    <t>Loop hydraulics at the design rate</t>
  </si>
  <si>
    <t>Design basis</t>
  </si>
  <si>
    <t>Design water rate</t>
  </si>
  <si>
    <t>Drainage sink: drawdown (Q / PI)</t>
  </si>
  <si>
    <t>Injection pressure build-up (Q / II)</t>
  </si>
  <si>
    <t>Drainage flowing pressure (≈ pump intake)</t>
  </si>
  <si>
    <t>Injection flowing pressure (≈ pump discharge)</t>
  </si>
  <si>
    <t>Input checks</t>
  </si>
  <si>
    <t>TDH at the design rate, in feet of water</t>
  </si>
  <si>
    <t>Sink head (drainage drawdown)</t>
  </si>
  <si>
    <t>Injection head (build-up)</t>
  </si>
  <si>
    <t>Static head between zones</t>
  </si>
  <si>
    <t>Flow-path friction</t>
  </si>
  <si>
    <t>TDH from loop hydraulics (sum of the four above)</t>
  </si>
  <si>
    <t>TDH basis</t>
  </si>
  <si>
    <t>Design TDH</t>
  </si>
  <si>
    <t>Share of the rate-driven head that makes the sink</t>
  </si>
  <si>
    <t>The pump pays for both ends of the loop: the sink it makes at the drain, and the build-up that pushes the same water into the injection zone. With II close to PI the design TDH is about twice the sink head.</t>
  </si>
  <si>
    <t>Pump sizing at catalog frequency</t>
  </si>
  <si>
    <t>Head per stage at the design rate</t>
  </si>
  <si>
    <t>Stages required (exact)</t>
  </si>
  <si>
    <t>Stages installed</t>
  </si>
  <si>
    <t>Pump head at the design rate</t>
  </si>
  <si>
    <t>Operating point at the design frequency</t>
  </si>
  <si>
    <t>Design frequency (solved unless set on Inputs)</t>
  </si>
  <si>
    <t>Operating rate</t>
  </si>
  <si>
    <t>TDH at the operating point</t>
  </si>
  <si>
    <t>Rate as % of BEP at this speed</t>
  </si>
  <si>
    <t>Recommended range at this speed</t>
  </si>
  <si>
    <t>Range check</t>
  </si>
  <si>
    <t>Pump efficiency</t>
  </si>
  <si>
    <t>Hydraulic horsepower</t>
  </si>
  <si>
    <t>Brake horsepower</t>
  </si>
  <si>
    <t>Pump differential pressure</t>
  </si>
  <si>
    <t>Sink at the operating point (drainage drawdown)</t>
  </si>
  <si>
    <t>Motor</t>
  </si>
  <si>
    <t>Minimum motor power (BHP × safety factor)</t>
  </si>
  <si>
    <t>Motor power available at the design frequency</t>
  </si>
  <si>
    <t>Motor load</t>
  </si>
  <si>
    <t>Load status</t>
  </si>
  <si>
    <t>Velocity past the motor</t>
  </si>
  <si>
    <t>ft/s</t>
  </si>
  <si>
    <t>Cooling check</t>
  </si>
  <si>
    <t>Estimated motor temperature</t>
  </si>
  <si>
    <t>Inverted-service checks</t>
  </si>
  <si>
    <t>Packer differential (pump ΔP, acting from below)</t>
  </si>
  <si>
    <t>Packer check</t>
  </si>
  <si>
    <t>Hydraulic thrust on the pump shaft</t>
  </si>
  <si>
    <t>lbf</t>
  </si>
  <si>
    <t>Size the protector thrust bearing for this load in the inverted direction; compression (fixed-impeller) stages are preferred for inverted service. Confirm the recommended operating range for inverted service with the vendor.</t>
  </si>
  <si>
    <t>Rate cases (installed stages on a variable-speed drive)</t>
  </si>
  <si>
    <t>Case</t>
  </si>
  <si>
    <t>TDH (ft)</t>
  </si>
  <si>
    <t>Frequency (Hz)</t>
  </si>
  <si>
    <t>% of BEP</t>
  </si>
  <si>
    <t>BHP (HP)</t>
  </si>
  <si>
    <t>Design rate</t>
  </si>
  <si>
    <t>Case 1</t>
  </si>
  <si>
    <t>Case 2</t>
  </si>
  <si>
    <t>Case 3</t>
  </si>
  <si>
    <t>Case 4</t>
  </si>
  <si>
    <t>Case 5</t>
  </si>
  <si>
    <t>Design frequency</t>
  </si>
  <si>
    <t>TDH at operating point</t>
  </si>
  <si>
    <t>BEP rate at this speed</t>
  </si>
  <si>
    <t>Pump head for the installed stages at each drive frequency (affinity laws: rate ∝ f, head ∝ f², power ∝ f³). Dashed lines bound the recommended operating range; the red line is the loop system curve.</t>
  </si>
  <si>
    <t>Calc — helper tables</t>
  </si>
  <si>
    <t>Intermediate results behind the Design and chart sheets. Nothing here needs editing. Rate solves are tabulated and interpolated between the bracketing rows, so there is no iteration and no circular reference.</t>
  </si>
  <si>
    <t>Design scalars</t>
  </si>
  <si>
    <t>Water pressure gradient</t>
  </si>
  <si>
    <t>Injection zone static pressure used (0 on Inputs = same aquifer)</t>
  </si>
  <si>
    <t>Static head between zones (zero rate)</t>
  </si>
  <si>
    <t>Sink head: drainage drawdown at the design rate</t>
  </si>
  <si>
    <t>Injection head: build-up at the design rate</t>
  </si>
  <si>
    <t>Flow-path friction at the design rate</t>
  </si>
  <si>
    <t>TDH from loop hydraulics at the design rate</t>
  </si>
  <si>
    <t>Design TDH at the design rate</t>
  </si>
  <si>
    <t>System-curve rate coefficient</t>
  </si>
  <si>
    <t>ft per bbl/d</t>
  </si>
  <si>
    <t>Head per stage at the design rate, catalog frequency</t>
  </si>
  <si>
    <t>Frequency that delivers the design rate</t>
  </si>
  <si>
    <t>Speed ratio (design / catalog frequency)</t>
  </si>
  <si>
    <t>Rate grid upper bound</t>
  </si>
  <si>
    <t>Operating rate at design frequency</t>
  </si>
  <si>
    <t>Brake horsepower at the operating point</t>
  </si>
  <si>
    <t>Pump efficiency at the operating point</t>
  </si>
  <si>
    <t>fraction</t>
  </si>
  <si>
    <t>Share of the loop's rate-dependent head that makes the sink</t>
  </si>
  <si>
    <t>SG outside the plausible brine range</t>
  </si>
  <si>
    <t>TRUE = check</t>
  </si>
  <si>
    <t>Static head between zones not ≈ 0</t>
  </si>
  <si>
    <t>System curve and pump head on a rate grid (design frequency)</t>
  </si>
  <si>
    <t>Friction (ft)</t>
  </si>
  <si>
    <t>System TDH (ft)</t>
  </si>
  <si>
    <t>Pump head (ft)</t>
  </si>
  <si>
    <t>Pump − system (ft)</t>
  </si>
  <si>
    <t>Crossing index (last row with pump head above system)</t>
  </si>
  <si>
    <t>Frequency that delivers each rate (installed stages)</t>
  </si>
  <si>
    <t>Design</t>
  </si>
  <si>
    <t>Pump head at the rate (ft)</t>
  </si>
  <si>
    <t>Crossing index</t>
  </si>
  <si>
    <t>Required frequency (Hz)</t>
  </si>
  <si>
    <t>Pump curve at design frequency (installed stages)</t>
  </si>
  <si>
    <t>Head (ft)</t>
  </si>
  <si>
    <t>Chart markers</t>
  </si>
  <si>
    <t>Operating point</t>
  </si>
  <si>
    <t>Minimum rate, axis</t>
  </si>
  <si>
    <t>Minimum rate, on the pump curve</t>
  </si>
  <si>
    <t>Maximum rate, axis</t>
  </si>
  <si>
    <t>Maximum rate, on the pump curve</t>
  </si>
  <si>
    <t>BEP at design frequency</t>
  </si>
  <si>
    <t>Tornado chart — installed stages across drive frequencies</t>
  </si>
  <si>
    <t>Rate</t>
  </si>
  <si>
    <t>Head</t>
  </si>
  <si>
    <t>Recommended-range boundaries across frequencies</t>
  </si>
  <si>
    <t>Minimum rate</t>
  </si>
  <si>
    <t>Head at minimum</t>
  </si>
  <si>
    <t>Maximum rate</t>
  </si>
  <si>
    <t>Head at maximum</t>
  </si>
</sst>
</file>

<file path=xl/styles.xml><?xml version="1.0" encoding="utf-8"?>
<styleSheet xmlns="http://schemas.openxmlformats.org/spreadsheetml/2006/main">
  <numFmts count="4">
    <numFmt numFmtId="164" formatCode="0.000"/>
    <numFmt numFmtId="165" formatCode="#,##0.0"/>
    <numFmt numFmtId="166" formatCode="0.0"/>
    <numFmt numFmtId="167" formatCode="0.0%"/>
  </numFmts>
  <fonts count="7">
    <font>
      <sz val="11"/>
      <name val="Aptos Narrow"/>
    </font>
    <font>
      <b/>
      <sz val="11"/>
      <name val="Aptos Narrow"/>
    </font>
    <font>
      <b/>
      <sz val="14"/>
      <name val="Aptos Narrow"/>
    </font>
    <font>
      <b/>
      <sz val="11"/>
      <color rgb="FF1F3A5F"/>
      <name val="Aptos Narrow"/>
    </font>
    <font>
      <i/>
      <sz val="11"/>
      <color rgb="FF555555"/>
      <name val="Aptos Narrow"/>
    </font>
    <font>
      <sz val="11"/>
      <color rgb="FF1F4EB4"/>
      <name val="Aptos Narrow"/>
    </font>
    <font>
      <b/>
      <sz val="13"/>
      <name val="Aptos Narrow"/>
    </font>
  </fonts>
  <fills count="4">
    <fill>
      <patternFill patternType="none"/>
    </fill>
    <fill>
      <patternFill patternType="gray125"/>
    </fill>
    <fill>
      <patternFill patternType="solid">
        <fgColor rgb="FFE8EEF4"/>
      </patternFill>
    </fill>
    <fill>
      <patternFill patternType="solid">
        <fgColor rgb="FFFFF2CC"/>
      </patternFill>
    </fill>
  </fills>
  <borders count="1">
    <border>
      <left/>
      <right/>
      <top/>
      <bottom/>
      <diagonal/>
    </border>
  </borders>
  <cellStyleXfs count="1">
    <xf numFmtId="0" fontId="0"/>
  </cellStyleXfs>
  <cellXfs count="39">
    <xf numFmtId="0" fontId="0" xfId="0"/>
    <xf numFmtId="0" fontId="1" applyFont="1"/>
    <xf numFmtId="0" fontId="2" applyFont="1"/>
    <xf numFmtId="0" fontId="3" applyFont="1"/>
    <xf numFmtId="0" fontId="0" applyAlignment="1">
      <alignment wrapText="1"/>
    </xf>
    <xf numFmtId="0" fontId="0" applyAlignment="1">
      <alignment vertical="top" wrapText="1"/>
    </xf>
    <xf numFmtId="0" fontId="4" applyFont="1" applyAlignment="1">
      <alignment wrapText="1"/>
    </xf>
    <xf numFmtId="0" fontId="3" applyFont="1" fillId="2" applyFill="1"/>
    <xf numFmtId="0" fontId="5" applyFont="1" fillId="3" applyFill="1"/>
    <xf numFmtId="0" fontId="4" applyFont="1"/>
    <xf numFmtId="164" applyNumberFormat="1" fontId="0"/>
    <xf numFmtId="165" applyNumberFormat="1" fontId="0"/>
    <xf numFmtId="3" applyNumberFormat="1" fontId="5" applyFont="1" fillId="3" applyFill="1"/>
    <xf numFmtId="1" applyNumberFormat="1" fontId="5" applyFont="1" fillId="3" applyFill="1"/>
    <xf numFmtId="0" fontId="0" fillId="3" applyFill="1"/>
    <xf numFmtId="166" applyNumberFormat="1" fontId="5" applyFont="1" fillId="3" applyFill="1"/>
    <xf numFmtId="164" applyNumberFormat="1" fontId="5" applyFont="1" fillId="3" applyFill="1"/>
    <xf numFmtId="167" applyNumberFormat="1" fontId="0"/>
    <xf numFmtId="3" applyNumberFormat="1" fontId="0"/>
    <xf numFmtId="3" applyNumberFormat="1" fontId="0" applyAlignment="1">
      <alignment horizontal="right"/>
    </xf>
    <xf numFmtId="167" applyNumberFormat="1" fontId="0" applyAlignment="1">
      <alignment horizontal="right"/>
    </xf>
    <xf numFmtId="166" applyNumberFormat="1" fontId="0"/>
    <xf numFmtId="166" applyNumberFormat="1" fontId="0" applyAlignment="1">
      <alignment horizontal="right"/>
    </xf>
    <xf numFmtId="0" fontId="0" applyAlignment="1">
      <alignment horizontal="left"/>
    </xf>
    <xf numFmtId="0" fontId="6" applyFont="1"/>
    <xf numFmtId="3" applyNumberFormat="1" fontId="1" applyFont="1" applyAlignment="1">
      <alignment horizontal="right"/>
    </xf>
    <xf numFmtId="165" applyNumberFormat="1" fontId="0" applyAlignment="1">
      <alignment horizontal="right"/>
    </xf>
    <xf numFmtId="9" applyNumberFormat="1" fontId="0"/>
    <xf numFmtId="9" applyNumberFormat="1" fontId="0" applyAlignment="1">
      <alignment horizontal="right"/>
    </xf>
    <xf numFmtId="2" applyNumberFormat="1" fontId="0" applyAlignment="1">
      <alignment horizontal="right"/>
    </xf>
    <xf numFmtId="1" applyNumberFormat="1" fontId="0" applyAlignment="1">
      <alignment horizontal="right"/>
    </xf>
    <xf numFmtId="1" applyNumberFormat="1" fontId="1" applyFont="1" applyAlignment="1">
      <alignment horizontal="right"/>
    </xf>
    <xf numFmtId="166" applyNumberFormat="1" fontId="1" applyFont="1" applyAlignment="1">
      <alignment horizontal="right"/>
    </xf>
    <xf numFmtId="167" applyNumberFormat="1" fontId="1" applyFont="1" applyAlignment="1">
      <alignment horizontal="right"/>
    </xf>
    <xf numFmtId="1" applyNumberFormat="1" fontId="1" applyFont="1"/>
    <xf numFmtId="3" applyNumberFormat="1" fontId="1" applyFont="1"/>
    <xf numFmtId="167" applyNumberFormat="1" fontId="1" applyFont="1"/>
    <xf numFmtId="166" applyNumberFormat="1" fontId="1" applyFont="1"/>
    <xf numFmtId="2" applyNumberFormat="1" fontId="1" applyFont="1"/>
  </cellXfs>
  <cellStyles count="1">
    <cellStyle name="Normal" xfId="0" builtinId="0"/>
  </cellStyles>
  <dxfs count="8">
    <dxf>
      <font>
        <b val="1"/>
        <color rgb="ffc00000"/>
      </font>
      <fill>
        <patternFill patternType="solid">
          <bgColor rgb="ffffe1e1"/>
        </patternFill>
      </fill>
    </dxf>
    <dxf>
      <font>
        <b val="1"/>
        <color rgb="ffc00000"/>
      </font>
      <fill>
        <patternFill patternType="solid">
          <bgColor rgb="ffffe1e1"/>
        </patternFill>
      </fill>
    </dxf>
    <dxf>
      <font>
        <b val="1"/>
        <color rgb="ffc00000"/>
      </font>
      <fill>
        <patternFill patternType="solid">
          <bgColor rgb="ffffe1e1"/>
        </patternFill>
      </fill>
    </dxf>
    <dxf>
      <font>
        <b val="1"/>
        <color rgb="ffc00000"/>
      </font>
      <fill>
        <patternFill patternType="solid">
          <bgColor rgb="ffffe1e1"/>
        </patternFill>
      </fill>
    </dxf>
    <dxf>
      <font>
        <b val="1"/>
        <color rgb="ffc00000"/>
      </font>
      <fill>
        <patternFill patternType="solid">
          <bgColor rgb="ffffe1e1"/>
        </patternFill>
      </fill>
    </dxf>
    <dxf>
      <font>
        <b val="1"/>
        <color rgb="ffc00000"/>
      </font>
      <fill>
        <patternFill patternType="solid">
          <bgColor rgb="ffffe1e1"/>
        </patternFill>
      </fill>
    </dxf>
    <dxf>
      <font>
        <b val="1"/>
        <color rgb="ffc00000"/>
      </font>
    </dxf>
    <dxf>
      <font>
        <b val="1"/>
        <color rgb="ffc00000"/>
      </font>
    </dxf>
  </d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 Id="rId9" Type="http://schemas.openxmlformats.org/officeDocument/2006/relationships/sheetMetadata" Target="/xl/metadata.xml"/><Relationship Id="rId10" Type="http://schemas.microsoft.com/office/2017/06/relationships/rdRichValueTypes" Target="/xl/richData/rdRichValueTypes.xml"/><Relationship Id="rId11" Type="http://schemas.microsoft.com/office/2017/06/relationships/rdRichValueStructure" Target="/xl/richData/rdrichvaluestructure.xml"/><Relationship Id="rId12" Type="http://schemas.microsoft.com/office/2017/06/relationships/rdRichValue" Target="/xl/richData/rdrichvalue.xml"/><Relationship Id="rId13" Type="http://schemas.microsoft.com/office/2017/06/relationships/rdArray" Target="/xl/richData/rdarray.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chart>
    <c:title>
      <c:tx>
        <c:rich>
          <a:bodyPr rot="0" spcFirstLastPara="1" vertOverflow="ellipsis" vert="horz" wrap="square" anchor="ctr" anchorCtr="1"/>
          <a:lstStyle/>
          <a:p>
            <a:pPr>
              <a:defRPr sz="1080" b="1" i="0" u="none" strike="noStrike" kern="1200" baseline="0">
                <a:effectLst/>
                <a:latin typeface="+mn-lt"/>
                <a:ea typeface="+mn-ea"/>
                <a:cs typeface="+mn-cs"/>
              </a:defRPr>
            </a:pPr>
            <a:r>
              <a:rPr/>
              <a:t>Single-stage catalog curve</a:t>
            </a:r>
          </a:p>
        </c:rich>
      </c:tx>
      <c:layout/>
      <c:overlay val="0"/>
      <c:spPr>
        <a:noFill/>
        <a:ln>
          <a:noFill/>
        </a:ln>
        <a:effectLst/>
      </c:spPr>
    </c:title>
    <c:plotArea>
      <c:layout/>
      <c:scatterChart>
        <c:scatterStyle val="lineMarker"/>
        <c:varyColors val="0"/>
        <c:ser>
          <c:idx val="0"/>
          <c:order val="0"/>
          <c:tx>
            <c:v>Head (ft/stage)</c:v>
          </c:tx>
          <c:spPr>
            <a:ln w="22225">
              <a:solidFill>
                <a:srgbClr val="1F4EB4"/>
              </a:solidFill>
            </a:ln>
            <a:effectLst/>
            <a:sp3d/>
          </c:spPr>
          <c:marker>
            <c:symbol val="none"/>
          </c:marker>
          <c:xVal>
            <c:numRef>
              <c:f>'Pump Curve'!$A$11:$A$22</c:f>
            </c:numRef>
          </c:xVal>
          <c:yVal>
            <c:numRef>
              <c:f>'Pump Curve'!$B$11:$B$22</c:f>
              <c:numCache/>
            </c:numRef>
          </c:yVal>
          <c:smooth val="0"/>
        </c:ser>
        <c:axId val="1"/>
        <c:axId val="2"/>
      </c:scatterChart>
      <c:scatterChart>
        <c:scatterStyle val="lineMarker"/>
        <c:varyColors val="0"/>
        <c:ser>
          <c:idx val="1"/>
          <c:order val="1"/>
          <c:tx>
            <c:v>Efficiency</c:v>
          </c:tx>
          <c:spPr>
            <a:ln w="22225">
              <a:solidFill>
                <a:srgbClr val="2E8B57"/>
              </a:solidFill>
            </a:ln>
            <a:effectLst/>
            <a:sp3d/>
          </c:spPr>
          <c:marker>
            <c:symbol val="none"/>
          </c:marker>
          <c:xVal>
            <c:numRef>
              <c:f>'Pump Curve'!$A$11:$A$22</c:f>
            </c:numRef>
          </c:xVal>
          <c:yVal>
            <c:numRef>
              <c:f>'Pump Curve'!$D$11:$D$22</c:f>
              <c:numCache/>
            </c:numRef>
          </c:yVal>
          <c:smooth val="0"/>
        </c:ser>
        <c:axId val="3"/>
        <c:axId val="4"/>
      </c:scatterChart>
      <c:valAx>
        <c:axId val="1"/>
        <c:scaling>
          <c:orientation val="minMax"/>
          <c:min val="0"/>
        </c:scaling>
        <c:delete val="0"/>
        <c:axPos val="b"/>
        <c:title>
          <c:tx>
            <c:rich>
              <a:bodyPr rot="0" spcFirstLastPara="1" vertOverflow="ellipsis" vert="horz" wrap="square" anchor="ctr" anchorCtr="1"/>
              <a:lstStyle/>
              <a:p>
                <a:pPr>
                  <a:defRPr sz="1080" b="1" i="0" u="none" strike="noStrike" kern="1200" baseline="0">
                    <a:effectLst/>
                    <a:latin typeface="+mn-lt"/>
                    <a:ea typeface="+mn-ea"/>
                    <a:cs typeface="+mn-cs"/>
                  </a:defRPr>
                </a:pPr>
                <a:r>
                  <a:rPr/>
                  <a:t>Rate (bbl/d)</a:t>
                </a:r>
              </a:p>
            </c:rich>
          </c:tx>
          <c:layout/>
          <c:overlay val="0"/>
          <c:spPr>
            <a:noFill/>
            <a:ln>
              <a:noFill/>
            </a:ln>
            <a:effectLst/>
          </c:spPr>
        </c:title>
        <c:numFmt formatCode="#,##0" sourceLinked="0"/>
        <c:tickLblPos val="nextTo"/>
        <c:txPr>
          <a:bodyPr rot="-60000000" spcFirstLastPara="1" vertOverflow="ellipsis" vert="horz" wrap="square" anchor="ctr" anchorCtr="1"/>
          <a:lstStyle/>
          <a:p>
            <a:pPr>
              <a:defRPr kern="1200" sz="900"/>
            </a:pPr>
          </a:p>
        </c:txPr>
        <c:crossAx val="2"/>
        <c:crosses val="autoZero"/>
      </c:valAx>
      <c:valAx>
        <c:axId val="2"/>
        <c:scaling>
          <c:orientation val="minMax"/>
          <c:min val="0"/>
        </c:scaling>
        <c:delete val="0"/>
        <c:axPos val="l"/>
        <c:majorGridlines/>
        <c:title>
          <c:tx>
            <c:rich>
              <a:bodyPr rot="-5400000" spcFirstLastPara="1" vertOverflow="ellipsis" vert="horz" wrap="square" anchor="ctr" anchorCtr="1"/>
              <a:lstStyle/>
              <a:p>
                <a:pPr>
                  <a:defRPr sz="1080" b="1" i="0" u="none" strike="noStrike" kern="1200" baseline="0">
                    <a:effectLst/>
                    <a:latin typeface="+mn-lt"/>
                    <a:ea typeface="+mn-ea"/>
                    <a:cs typeface="+mn-cs"/>
                  </a:defRPr>
                </a:pPr>
                <a:r>
                  <a:rPr/>
                  <a:t>Head (ft/stage)</a:t>
                </a:r>
              </a:p>
            </c:rich>
          </c:tx>
          <c:layout/>
          <c:overlay val="0"/>
          <c:spPr>
            <a:noFill/>
            <a:ln>
              <a:noFill/>
            </a:ln>
            <a:effectLst/>
          </c:spPr>
        </c:title>
        <c:numFmt formatCode="#,##0" sourceLinked="0"/>
        <c:tickLblPos val="nextTo"/>
        <c:txPr>
          <a:bodyPr rot="-60000000" spcFirstLastPara="1" vertOverflow="ellipsis" vert="horz" wrap="square" anchor="ctr" anchorCtr="1"/>
          <a:lstStyle/>
          <a:p>
            <a:pPr>
              <a:defRPr kern="1200" sz="900"/>
            </a:pPr>
          </a:p>
        </c:txPr>
        <c:crossAx val="1"/>
        <c:crosses val="autoZero"/>
        <c:crossBetween val="between"/>
      </c:valAx>
      <c:valAx>
        <c:axId val="3"/>
        <c:scaling>
          <c:orientation val="minMax"/>
        </c:scaling>
        <c:delete val="1"/>
        <c:axPos val="b"/>
        <c:tickLblPos val="none"/>
        <c:crossAx val="4"/>
        <c:crosses val="autoZero"/>
      </c:valAx>
      <c:valAx>
        <c:axId val="4"/>
        <c:scaling>
          <c:orientation val="minMax"/>
          <c:max val="1"/>
          <c:min val="0"/>
        </c:scaling>
        <c:delete val="0"/>
        <c:axPos val="r"/>
        <c:title>
          <c:tx>
            <c:rich>
              <a:bodyPr rot="5400000" spcFirstLastPara="1" vertOverflow="ellipsis" vert="horz" wrap="square" anchor="ctr" anchorCtr="1"/>
              <a:lstStyle/>
              <a:p>
                <a:pPr>
                  <a:defRPr sz="1080" b="1" i="0" u="none" strike="noStrike" kern="1200" baseline="0">
                    <a:effectLst/>
                    <a:latin typeface="+mn-lt"/>
                    <a:ea typeface="+mn-ea"/>
                    <a:cs typeface="+mn-cs"/>
                  </a:defRPr>
                </a:pPr>
                <a:r>
                  <a:rPr/>
                  <a:t>Efficiency</a:t>
                </a:r>
              </a:p>
            </c:rich>
          </c:tx>
          <c:layout/>
          <c:overlay val="0"/>
          <c:spPr>
            <a:noFill/>
            <a:ln>
              <a:noFill/>
            </a:ln>
            <a:effectLst/>
          </c:spPr>
        </c:title>
        <c:numFmt formatCode="0%" sourceLinked="0"/>
        <c:tickLblPos val="nextTo"/>
        <c:crossAx val="3"/>
        <c:crosses val="max"/>
        <c:crossBetween val="between"/>
      </c:valAx>
    </c:plotArea>
    <c:legend>
      <c:legendPos val="b"/>
      <c:layout/>
      <c:overlay val="0"/>
      <c:txPr>
        <a:bodyPr anchorCtr="1" anchor="ctr" wrap="square" vert="horz" vertOverflow="ellipsis" spcFirstLastPara="1" rot="0"/>
        <a:lstStyle/>
        <a:p>
          <a:pPr>
            <a:defRPr/>
          </a:pPr>
          <a:endParaRPr/>
        </a:p>
      </c:txPr>
    </c:legend>
    <c:plotVisOnly val="1"/>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chart>
    <c:title>
      <c:tx>
        <c:rich>
          <a:bodyPr rot="0" spcFirstLastPara="1" vertOverflow="ellipsis" vert="horz" wrap="square" anchor="ctr" anchorCtr="1"/>
          <a:lstStyle/>
          <a:p>
            <a:pPr>
              <a:defRPr sz="1080" b="1" i="0" u="none" strike="noStrike" kern="1200" baseline="0">
                <a:effectLst/>
                <a:latin typeface="+mn-lt"/>
                <a:ea typeface="+mn-ea"/>
                <a:cs typeface="+mn-cs"/>
              </a:defRPr>
            </a:pPr>
            <a:r>
              <a:rPr/>
              <a:t>Pump head, system curve and efficiency</a:t>
            </a:r>
          </a:p>
        </c:rich>
      </c:tx>
      <c:layout/>
      <c:overlay val="0"/>
      <c:spPr>
        <a:noFill/>
        <a:ln>
          <a:noFill/>
        </a:ln>
        <a:effectLst/>
      </c:spPr>
    </c:title>
    <c:plotArea>
      <c:layout/>
      <c:scatterChart>
        <c:scatterStyle val="lineMarker"/>
        <c:varyColors val="0"/>
        <c:ser>
          <c:idx val="0"/>
          <c:order val="0"/>
          <c:tx>
            <c:v>Pump head (installed stages)</c:v>
          </c:tx>
          <c:spPr>
            <a:ln w="28575">
              <a:solidFill>
                <a:srgbClr val="1F4EB4"/>
              </a:solidFill>
            </a:ln>
            <a:effectLst/>
            <a:sp3d/>
          </c:spPr>
          <c:marker>
            <c:symbol val="none"/>
          </c:marker>
          <c:xVal>
            <c:numRef>
              <c:f>Calc!$A$147:$A$158</c:f>
            </c:numRef>
          </c:xVal>
          <c:yVal>
            <c:numRef>
              <c:f>Calc!$B$147:$B$158</c:f>
              <c:numCache/>
            </c:numRef>
          </c:yVal>
          <c:smooth val="0"/>
        </c:ser>
        <c:ser>
          <c:idx val="1"/>
          <c:order val="1"/>
          <c:tx>
            <c:v>System curve (loop TDH)</c:v>
          </c:tx>
          <c:spPr>
            <a:ln w="25400">
              <a:solidFill>
                <a:srgbClr val="C0392B"/>
              </a:solidFill>
            </a:ln>
            <a:effectLst/>
            <a:sp3d/>
          </c:spPr>
          <c:marker>
            <c:symbol val="none"/>
          </c:marker>
          <c:xVal>
            <c:numRef>
              <c:f>Calc!$A$147:$A$158</c:f>
            </c:numRef>
          </c:xVal>
          <c:yVal>
            <c:numRef>
              <c:f>Calc!$E$147:$E$158</c:f>
              <c:numCache/>
            </c:numRef>
          </c:yVal>
          <c:smooth val="0"/>
        </c:ser>
        <c:ser>
          <c:idx val="2"/>
          <c:order val="2"/>
          <c:tx>
            <c:v>Minimum rate</c:v>
          </c:tx>
          <c:spPr>
            <a:ln w="15875">
              <a:solidFill>
                <a:srgbClr val="7F7F7F"/>
              </a:solidFill>
              <a:prstDash val="dash"/>
            </a:ln>
            <a:effectLst/>
            <a:sp3d/>
          </c:spPr>
          <c:marker>
            <c:symbol val="none"/>
          </c:marker>
          <c:xVal>
            <c:numRef>
              <c:f>Calc!$B$163:$B$164</c:f>
            </c:numRef>
          </c:xVal>
          <c:yVal>
            <c:numRef>
              <c:f>Calc!$C$163:$C$164</c:f>
              <c:numCache/>
            </c:numRef>
          </c:yVal>
          <c:smooth val="0"/>
        </c:ser>
        <c:ser>
          <c:idx val="3"/>
          <c:order val="3"/>
          <c:tx>
            <c:v>Maximum rate</c:v>
          </c:tx>
          <c:spPr>
            <a:ln w="15875">
              <a:solidFill>
                <a:srgbClr val="7F7F7F"/>
              </a:solidFill>
              <a:prstDash val="dash"/>
            </a:ln>
            <a:effectLst/>
            <a:sp3d/>
          </c:spPr>
          <c:marker>
            <c:symbol val="none"/>
          </c:marker>
          <c:xVal>
            <c:numRef>
              <c:f>Calc!$B$165:$B$166</c:f>
            </c:numRef>
          </c:xVal>
          <c:yVal>
            <c:numRef>
              <c:f>Calc!$C$165:$C$166</c:f>
              <c:numCache/>
            </c:numRef>
          </c:yVal>
          <c:smooth val="0"/>
        </c:ser>
        <c:ser>
          <c:idx val="4"/>
          <c:order val="4"/>
          <c:tx>
            <c:v>BEP</c:v>
          </c:tx>
          <c:spPr>
            <a:ln>
              <a:noFill/>
            </a:ln>
            <a:effectLst/>
            <a:sp3d/>
          </c:spPr>
          <c:marker>
            <c:symbol val="triangle"/>
            <c:size val="11"/>
            <c:spPr>
              <a:solidFill>
                <a:srgbClr val="2E8B57"/>
              </a:solidFill>
              <a:ln>
                <a:solidFill>
                  <a:srgbClr val="2E8B57"/>
                </a:solidFill>
              </a:ln>
              <a:effectLst/>
              <a:sp3d/>
            </c:spPr>
          </c:marker>
          <c:xVal>
            <c:numRef>
              <c:f>Calc!$B$167</c:f>
            </c:numRef>
          </c:xVal>
          <c:yVal>
            <c:numRef>
              <c:f>Calc!$C$167</c:f>
              <c:numCache/>
            </c:numRef>
          </c:yVal>
          <c:smooth val="0"/>
        </c:ser>
        <c:ser>
          <c:idx val="5"/>
          <c:order val="5"/>
          <c:tx>
            <c:v>Operating point</c:v>
          </c:tx>
          <c:spPr>
            <a:ln>
              <a:noFill/>
            </a:ln>
            <a:effectLst/>
            <a:sp3d/>
          </c:spPr>
          <c:marker>
            <c:symbol val="diamond"/>
            <c:size val="11"/>
            <c:spPr>
              <a:solidFill>
                <a:srgbClr val="111111"/>
              </a:solidFill>
              <a:ln>
                <a:solidFill>
                  <a:srgbClr val="111111"/>
                </a:solidFill>
              </a:ln>
              <a:effectLst/>
              <a:sp3d/>
            </c:spPr>
          </c:marker>
          <c:xVal>
            <c:numRef>
              <c:f>Calc!$B$162</c:f>
            </c:numRef>
          </c:xVal>
          <c:yVal>
            <c:numRef>
              <c:f>Calc!$C$162</c:f>
              <c:numCache/>
            </c:numRef>
          </c:yVal>
          <c:smooth val="0"/>
        </c:ser>
        <c:axId val="1"/>
        <c:axId val="2"/>
      </c:scatterChart>
      <c:scatterChart>
        <c:scatterStyle val="lineMarker"/>
        <c:varyColors val="0"/>
        <c:ser>
          <c:idx val="6"/>
          <c:order val="6"/>
          <c:tx>
            <c:v>Efficiency (right axis)</c:v>
          </c:tx>
          <c:spPr>
            <a:ln w="19050">
              <a:solidFill>
                <a:srgbClr val="2E8B57"/>
              </a:solidFill>
            </a:ln>
            <a:effectLst/>
            <a:sp3d/>
          </c:spPr>
          <c:marker>
            <c:symbol val="none"/>
          </c:marker>
          <c:xVal>
            <c:numRef>
              <c:f>Calc!$A$147:$A$158</c:f>
            </c:numRef>
          </c:xVal>
          <c:yVal>
            <c:numRef>
              <c:f>Calc!$D$147:$D$158</c:f>
              <c:numCache/>
            </c:numRef>
          </c:yVal>
          <c:smooth val="0"/>
        </c:ser>
        <c:axId val="3"/>
        <c:axId val="4"/>
      </c:scatterChart>
      <c:valAx>
        <c:axId val="1"/>
        <c:scaling>
          <c:orientation val="minMax"/>
          <c:min val="0"/>
        </c:scaling>
        <c:delete val="0"/>
        <c:axPos val="b"/>
        <c:title>
          <c:tx>
            <c:rich>
              <a:bodyPr rot="0" spcFirstLastPara="1" vertOverflow="ellipsis" vert="horz" wrap="square" anchor="ctr" anchorCtr="1"/>
              <a:lstStyle/>
              <a:p>
                <a:pPr>
                  <a:defRPr sz="1080" b="1" i="0" u="none" strike="noStrike" kern="1200" baseline="0">
                    <a:effectLst/>
                    <a:latin typeface="+mn-lt"/>
                    <a:ea typeface="+mn-ea"/>
                    <a:cs typeface="+mn-cs"/>
                  </a:defRPr>
                </a:pPr>
                <a:r>
                  <a:rPr/>
                  <a:t>Rate (bbl/d)</a:t>
                </a:r>
              </a:p>
            </c:rich>
          </c:tx>
          <c:layout/>
          <c:overlay val="0"/>
          <c:spPr>
            <a:noFill/>
            <a:ln>
              <a:noFill/>
            </a:ln>
            <a:effectLst/>
          </c:spPr>
        </c:title>
        <c:numFmt formatCode="#,##0" sourceLinked="0"/>
        <c:tickLblPos val="nextTo"/>
        <c:txPr>
          <a:bodyPr rot="-60000000" spcFirstLastPara="1" vertOverflow="ellipsis" vert="horz" wrap="square" anchor="ctr" anchorCtr="1"/>
          <a:lstStyle/>
          <a:p>
            <a:pPr>
              <a:defRPr kern="1200" sz="900"/>
            </a:pPr>
          </a:p>
        </c:txPr>
        <c:crossAx val="2"/>
        <c:crosses val="autoZero"/>
      </c:valAx>
      <c:valAx>
        <c:axId val="2"/>
        <c:scaling>
          <c:orientation val="minMax"/>
          <c:min val="0"/>
        </c:scaling>
        <c:delete val="0"/>
        <c:axPos val="l"/>
        <c:majorGridlines/>
        <c:title>
          <c:tx>
            <c:rich>
              <a:bodyPr rot="-5400000" spcFirstLastPara="1" vertOverflow="ellipsis" vert="horz" wrap="square" anchor="ctr" anchorCtr="1"/>
              <a:lstStyle/>
              <a:p>
                <a:pPr>
                  <a:defRPr sz="1080" b="1" i="0" u="none" strike="noStrike" kern="1200" baseline="0">
                    <a:effectLst/>
                    <a:latin typeface="+mn-lt"/>
                    <a:ea typeface="+mn-ea"/>
                    <a:cs typeface="+mn-cs"/>
                  </a:defRPr>
                </a:pPr>
                <a:r>
                  <a:rPr/>
                  <a:t>Head (ft)</a:t>
                </a:r>
              </a:p>
            </c:rich>
          </c:tx>
          <c:layout/>
          <c:overlay val="0"/>
          <c:spPr>
            <a:noFill/>
            <a:ln>
              <a:noFill/>
            </a:ln>
            <a:effectLst/>
          </c:spPr>
        </c:title>
        <c:numFmt formatCode="#,##0" sourceLinked="0"/>
        <c:tickLblPos val="nextTo"/>
        <c:txPr>
          <a:bodyPr rot="-60000000" spcFirstLastPara="1" vertOverflow="ellipsis" vert="horz" wrap="square" anchor="ctr" anchorCtr="1"/>
          <a:lstStyle/>
          <a:p>
            <a:pPr>
              <a:defRPr kern="1200" sz="900"/>
            </a:pPr>
          </a:p>
        </c:txPr>
        <c:crossAx val="1"/>
        <c:crosses val="autoZero"/>
        <c:crossBetween val="between"/>
      </c:valAx>
      <c:valAx>
        <c:axId val="3"/>
        <c:scaling>
          <c:orientation val="minMax"/>
        </c:scaling>
        <c:delete val="1"/>
        <c:axPos val="b"/>
        <c:tickLblPos val="none"/>
        <c:crossAx val="4"/>
        <c:crosses val="autoZero"/>
      </c:valAx>
      <c:valAx>
        <c:axId val="4"/>
        <c:scaling>
          <c:orientation val="minMax"/>
          <c:max val="1"/>
          <c:min val="0"/>
        </c:scaling>
        <c:delete val="0"/>
        <c:axPos val="r"/>
        <c:title>
          <c:tx>
            <c:rich>
              <a:bodyPr rot="5400000" spcFirstLastPara="1" vertOverflow="ellipsis" vert="horz" wrap="square" anchor="ctr" anchorCtr="1"/>
              <a:lstStyle/>
              <a:p>
                <a:pPr>
                  <a:defRPr sz="1080" b="1" i="0" u="none" strike="noStrike" kern="1200" baseline="0">
                    <a:effectLst/>
                    <a:latin typeface="+mn-lt"/>
                    <a:ea typeface="+mn-ea"/>
                    <a:cs typeface="+mn-cs"/>
                  </a:defRPr>
                </a:pPr>
                <a:r>
                  <a:rPr/>
                  <a:t>Efficiency</a:t>
                </a:r>
              </a:p>
            </c:rich>
          </c:tx>
          <c:layout/>
          <c:overlay val="0"/>
          <c:spPr>
            <a:noFill/>
            <a:ln>
              <a:noFill/>
            </a:ln>
            <a:effectLst/>
          </c:spPr>
        </c:title>
        <c:numFmt formatCode="0%" sourceLinked="0"/>
        <c:tickLblPos val="nextTo"/>
        <c:crossAx val="3"/>
        <c:crosses val="max"/>
        <c:crossBetween val="between"/>
      </c:valAx>
    </c:plotArea>
    <c:legend>
      <c:legendPos val="b"/>
      <c:layout/>
      <c:overlay val="0"/>
      <c:txPr>
        <a:bodyPr anchorCtr="1" anchor="ctr" wrap="square" vert="horz" vertOverflow="ellipsis" spcFirstLastPara="1" rot="0"/>
        <a:lstStyle/>
        <a:p>
          <a:pPr>
            <a:defRPr/>
          </a:pPr>
          <a:endParaRPr/>
        </a:p>
      </c:txPr>
    </c:legend>
    <c:plotVisOnly val="1"/>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chart>
    <c:title>
      <c:tx>
        <c:rich>
          <a:bodyPr rot="0" spcFirstLastPara="1" vertOverflow="ellipsis" vert="horz" wrap="square" anchor="ctr" anchorCtr="1"/>
          <a:lstStyle/>
          <a:p>
            <a:pPr>
              <a:defRPr sz="1080" b="1" i="0" u="none" strike="noStrike" kern="1200" baseline="0">
                <a:effectLst/>
                <a:latin typeface="+mn-lt"/>
                <a:ea typeface="+mn-ea"/>
                <a:cs typeface="+mn-cs"/>
              </a:defRPr>
            </a:pPr>
            <a:r>
              <a:rPr/>
              <a:t>Brake horsepower (installed stages, fluid SG)</a:t>
            </a:r>
          </a:p>
        </c:rich>
      </c:tx>
      <c:layout/>
      <c:overlay val="0"/>
      <c:spPr>
        <a:noFill/>
        <a:ln>
          <a:noFill/>
        </a:ln>
        <a:effectLst/>
      </c:spPr>
    </c:title>
    <c:plotArea>
      <c:layout/>
      <c:scatterChart>
        <c:scatterStyle val="lineMarker"/>
        <c:varyColors val="0"/>
        <c:ser>
          <c:idx val="0"/>
          <c:order val="0"/>
          <c:tx>
            <c:v>Brake horsepower</c:v>
          </c:tx>
          <c:spPr>
            <a:ln w="28575">
              <a:solidFill>
                <a:srgbClr val="1F4EB4"/>
              </a:solidFill>
            </a:ln>
            <a:effectLst/>
            <a:sp3d/>
          </c:spPr>
          <c:marker>
            <c:symbol val="none"/>
          </c:marker>
          <c:xVal>
            <c:numRef>
              <c:f>Calc!$A$147:$A$158</c:f>
            </c:numRef>
          </c:xVal>
          <c:yVal>
            <c:numRef>
              <c:f>Calc!$C$147:$C$158</c:f>
              <c:numCache/>
            </c:numRef>
          </c:yVal>
          <c:smooth val="0"/>
        </c:ser>
        <c:ser>
          <c:idx val="1"/>
          <c:order val="1"/>
          <c:tx>
            <c:v>Operating point</c:v>
          </c:tx>
          <c:spPr>
            <a:ln>
              <a:noFill/>
            </a:ln>
            <a:effectLst/>
            <a:sp3d/>
          </c:spPr>
          <c:marker>
            <c:symbol val="diamond"/>
            <c:size val="11"/>
            <c:spPr>
              <a:solidFill>
                <a:srgbClr val="111111"/>
              </a:solidFill>
              <a:ln>
                <a:solidFill>
                  <a:srgbClr val="111111"/>
                </a:solidFill>
              </a:ln>
              <a:effectLst/>
              <a:sp3d/>
            </c:spPr>
          </c:marker>
          <c:xVal>
            <c:numRef>
              <c:f>Calc!$B$162</c:f>
            </c:numRef>
          </c:xVal>
          <c:yVal>
            <c:numRef>
              <c:f>Calc!$D$162</c:f>
              <c:numCache/>
            </c:numRef>
          </c:yVal>
          <c:smooth val="0"/>
        </c:ser>
        <c:axId val="1"/>
        <c:axId val="2"/>
      </c:scatterChart>
      <c:valAx>
        <c:axId val="1"/>
        <c:scaling>
          <c:orientation val="minMax"/>
          <c:min val="0"/>
        </c:scaling>
        <c:delete val="0"/>
        <c:axPos val="b"/>
        <c:title>
          <c:tx>
            <c:rich>
              <a:bodyPr rot="0" spcFirstLastPara="1" vertOverflow="ellipsis" vert="horz" wrap="square" anchor="ctr" anchorCtr="1"/>
              <a:lstStyle/>
              <a:p>
                <a:pPr>
                  <a:defRPr sz="1080" b="1" i="0" u="none" strike="noStrike" kern="1200" baseline="0">
                    <a:effectLst/>
                    <a:latin typeface="+mn-lt"/>
                    <a:ea typeface="+mn-ea"/>
                    <a:cs typeface="+mn-cs"/>
                  </a:defRPr>
                </a:pPr>
                <a:r>
                  <a:rPr/>
                  <a:t>Rate (bbl/d)</a:t>
                </a:r>
              </a:p>
            </c:rich>
          </c:tx>
          <c:layout/>
          <c:overlay val="0"/>
          <c:spPr>
            <a:noFill/>
            <a:ln>
              <a:noFill/>
            </a:ln>
            <a:effectLst/>
          </c:spPr>
        </c:title>
        <c:numFmt formatCode="#,##0" sourceLinked="0"/>
        <c:tickLblPos val="nextTo"/>
        <c:txPr>
          <a:bodyPr rot="-60000000" spcFirstLastPara="1" vertOverflow="ellipsis" vert="horz" wrap="square" anchor="ctr" anchorCtr="1"/>
          <a:lstStyle/>
          <a:p>
            <a:pPr>
              <a:defRPr kern="1200" sz="900"/>
            </a:pPr>
          </a:p>
        </c:txPr>
        <c:crossAx val="2"/>
        <c:crosses val="autoZero"/>
      </c:valAx>
      <c:valAx>
        <c:axId val="2"/>
        <c:scaling>
          <c:orientation val="minMax"/>
          <c:min val="0"/>
        </c:scaling>
        <c:delete val="0"/>
        <c:axPos val="l"/>
        <c:majorGridlines/>
        <c:title>
          <c:tx>
            <c:rich>
              <a:bodyPr rot="-5400000" spcFirstLastPara="1" vertOverflow="ellipsis" vert="horz" wrap="square" anchor="ctr" anchorCtr="1"/>
              <a:lstStyle/>
              <a:p>
                <a:pPr>
                  <a:defRPr sz="1080" b="1" i="0" u="none" strike="noStrike" kern="1200" baseline="0">
                    <a:effectLst/>
                    <a:latin typeface="+mn-lt"/>
                    <a:ea typeface="+mn-ea"/>
                    <a:cs typeface="+mn-cs"/>
                  </a:defRPr>
                </a:pPr>
                <a:r>
                  <a:rPr/>
                  <a:t>Brake horsepower (HP)</a:t>
                </a:r>
              </a:p>
            </c:rich>
          </c:tx>
          <c:layout/>
          <c:overlay val="0"/>
          <c:spPr>
            <a:noFill/>
            <a:ln>
              <a:noFill/>
            </a:ln>
            <a:effectLst/>
          </c:spPr>
        </c:title>
        <c:numFmt formatCode="#,##0" sourceLinked="0"/>
        <c:tickLblPos val="nextTo"/>
        <c:txPr>
          <a:bodyPr rot="-60000000" spcFirstLastPara="1" vertOverflow="ellipsis" vert="horz" wrap="square" anchor="ctr" anchorCtr="1"/>
          <a:lstStyle/>
          <a:p>
            <a:pPr>
              <a:defRPr kern="1200" sz="900"/>
            </a:pPr>
          </a:p>
        </c:txPr>
        <c:crossAx val="1"/>
        <c:crosses val="autoZero"/>
        <c:crossBetween val="between"/>
      </c:valAx>
    </c:plotArea>
    <c:legend>
      <c:legendPos val="b"/>
      <c:layout/>
      <c:overlay val="0"/>
      <c:txPr>
        <a:bodyPr anchorCtr="1" anchor="ctr" wrap="square" vert="horz" vertOverflow="ellipsis" spcFirstLastPara="1" rot="0"/>
        <a:lstStyle/>
        <a:p>
          <a:pPr>
            <a:defRPr/>
          </a:pPr>
          <a:endParaRPr/>
        </a:p>
      </c:txPr>
    </c:legend>
    <c:plotVisOnly val="1"/>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chart>
    <c:title>
      <c:tx>
        <c:rich>
          <a:bodyPr rot="0" spcFirstLastPara="1" vertOverflow="ellipsis" vert="horz" wrap="square" anchor="ctr" anchorCtr="1"/>
          <a:lstStyle/>
          <a:p>
            <a:pPr>
              <a:defRPr sz="1080" b="1" i="0" u="none" strike="noStrike" kern="1200" baseline="0">
                <a:effectLst/>
                <a:latin typeface="+mn-lt"/>
                <a:ea typeface="+mn-ea"/>
                <a:cs typeface="+mn-cs"/>
              </a:defRPr>
            </a:pPr>
            <a:r>
              <a:rPr/>
              <a:t>Tornado chart</a:t>
            </a:r>
          </a:p>
        </c:rich>
      </c:tx>
      <c:layout/>
      <c:overlay val="0"/>
      <c:spPr>
        <a:noFill/>
        <a:ln>
          <a:noFill/>
        </a:ln>
        <a:effectLst/>
      </c:spPr>
    </c:title>
    <c:plotArea>
      <c:layout/>
      <c:scatterChart>
        <c:scatterStyle val="lineMarker"/>
        <c:varyColors val="0"/>
        <c:ser>
          <c:idx val="0"/>
          <c:order val="0"/>
          <c:tx>
            <c:strRef>
              <c:f>Calc!B170</c:f>
              <c:strCache>
                <c:ptCount val="0"/>
              </c:strCache>
            </c:strRef>
          </c:tx>
          <c:spPr>
            <a:ln w="19050">
              <a:solidFill>
                <a:srgbClr val="9EC5E8"/>
              </a:solidFill>
            </a:ln>
            <a:effectLst/>
            <a:sp3d/>
          </c:spPr>
          <c:marker>
            <c:symbol val="none"/>
          </c:marker>
          <c:xVal>
            <c:numRef>
              <c:f>Calc!$B$172:$B$183</c:f>
            </c:numRef>
          </c:xVal>
          <c:yVal>
            <c:numRef>
              <c:f>Calc!$C$172:$C$183</c:f>
              <c:numCache/>
            </c:numRef>
          </c:yVal>
          <c:smooth val="0"/>
        </c:ser>
        <c:ser>
          <c:idx val="1"/>
          <c:order val="1"/>
          <c:tx>
            <c:strRef>
              <c:f>Calc!D170</c:f>
              <c:strCache>
                <c:ptCount val="0"/>
              </c:strCache>
            </c:strRef>
          </c:tx>
          <c:spPr>
            <a:ln w="19050">
              <a:solidFill>
                <a:srgbClr val="85ACD3"/>
              </a:solidFill>
            </a:ln>
            <a:effectLst/>
            <a:sp3d/>
          </c:spPr>
          <c:marker>
            <c:symbol val="none"/>
          </c:marker>
          <c:xVal>
            <c:numRef>
              <c:f>Calc!$D$172:$D$183</c:f>
            </c:numRef>
          </c:xVal>
          <c:yVal>
            <c:numRef>
              <c:f>Calc!$E$172:$E$183</c:f>
              <c:numCache/>
            </c:numRef>
          </c:yVal>
          <c:smooth val="0"/>
        </c:ser>
        <c:ser>
          <c:idx val="2"/>
          <c:order val="2"/>
          <c:tx>
            <c:strRef>
              <c:f>Calc!F170</c:f>
              <c:strCache>
                <c:ptCount val="0"/>
              </c:strCache>
            </c:strRef>
          </c:tx>
          <c:spPr>
            <a:ln w="19050">
              <a:solidFill>
                <a:srgbClr val="6C93BE"/>
              </a:solidFill>
            </a:ln>
            <a:effectLst/>
            <a:sp3d/>
          </c:spPr>
          <c:marker>
            <c:symbol val="none"/>
          </c:marker>
          <c:xVal>
            <c:numRef>
              <c:f>Calc!$F$172:$F$183</c:f>
            </c:numRef>
          </c:xVal>
          <c:yVal>
            <c:numRef>
              <c:f>Calc!$G$172:$G$183</c:f>
              <c:numCache/>
            </c:numRef>
          </c:yVal>
          <c:smooth val="0"/>
        </c:ser>
        <c:ser>
          <c:idx val="3"/>
          <c:order val="3"/>
          <c:tx>
            <c:strRef>
              <c:f>Calc!H170</c:f>
              <c:strCache>
                <c:ptCount val="0"/>
              </c:strCache>
            </c:strRef>
          </c:tx>
          <c:spPr>
            <a:ln w="19050">
              <a:solidFill>
                <a:srgbClr val="537AAA"/>
              </a:solidFill>
            </a:ln>
            <a:effectLst/>
            <a:sp3d/>
          </c:spPr>
          <c:marker>
            <c:symbol val="none"/>
          </c:marker>
          <c:xVal>
            <c:numRef>
              <c:f>Calc!$H$172:$H$183</c:f>
            </c:numRef>
          </c:xVal>
          <c:yVal>
            <c:numRef>
              <c:f>Calc!$I$172:$I$183</c:f>
              <c:numCache/>
            </c:numRef>
          </c:yVal>
          <c:smooth val="0"/>
        </c:ser>
        <c:ser>
          <c:idx val="4"/>
          <c:order val="4"/>
          <c:tx>
            <c:strRef>
              <c:f>Calc!J170</c:f>
              <c:strCache>
                <c:ptCount val="0"/>
              </c:strCache>
            </c:strRef>
          </c:tx>
          <c:spPr>
            <a:ln w="19050">
              <a:solidFill>
                <a:srgbClr val="3A6295"/>
              </a:solidFill>
            </a:ln>
            <a:effectLst/>
            <a:sp3d/>
          </c:spPr>
          <c:marker>
            <c:symbol val="none"/>
          </c:marker>
          <c:xVal>
            <c:numRef>
              <c:f>Calc!$J$172:$J$183</c:f>
            </c:numRef>
          </c:xVal>
          <c:yVal>
            <c:numRef>
              <c:f>Calc!$K$172:$K$183</c:f>
              <c:numCache/>
            </c:numRef>
          </c:yVal>
          <c:smooth val="0"/>
        </c:ser>
        <c:ser>
          <c:idx val="5"/>
          <c:order val="5"/>
          <c:tx>
            <c:strRef>
              <c:f>Calc!L170</c:f>
              <c:strCache>
                <c:ptCount val="0"/>
              </c:strCache>
            </c:strRef>
          </c:tx>
          <c:spPr>
            <a:ln w="19050">
              <a:solidFill>
                <a:srgbClr val="214980"/>
              </a:solidFill>
            </a:ln>
            <a:effectLst/>
            <a:sp3d/>
          </c:spPr>
          <c:marker>
            <c:symbol val="none"/>
          </c:marker>
          <c:xVal>
            <c:numRef>
              <c:f>Calc!$L$172:$L$183</c:f>
            </c:numRef>
          </c:xVal>
          <c:yVal>
            <c:numRef>
              <c:f>Calc!$M$172:$M$183</c:f>
              <c:numCache/>
            </c:numRef>
          </c:yVal>
          <c:smooth val="0"/>
        </c:ser>
        <c:ser>
          <c:idx val="6"/>
          <c:order val="6"/>
          <c:tx>
            <c:strRef>
              <c:f>Calc!N170</c:f>
              <c:strCache>
                <c:ptCount val="0"/>
              </c:strCache>
            </c:strRef>
          </c:tx>
          <c:spPr>
            <a:ln w="19050">
              <a:solidFill>
                <a:srgbClr val="08306B"/>
              </a:solidFill>
            </a:ln>
            <a:effectLst/>
            <a:sp3d/>
          </c:spPr>
          <c:marker>
            <c:symbol val="none"/>
          </c:marker>
          <c:xVal>
            <c:numRef>
              <c:f>Calc!$N$172:$N$183</c:f>
            </c:numRef>
          </c:xVal>
          <c:yVal>
            <c:numRef>
              <c:f>Calc!$O$172:$O$183</c:f>
              <c:numCache/>
            </c:numRef>
          </c:yVal>
          <c:smooth val="0"/>
        </c:ser>
        <c:ser>
          <c:idx val="7"/>
          <c:order val="7"/>
          <c:tx>
            <c:v>System curve (loop TDH)</c:v>
          </c:tx>
          <c:spPr>
            <a:ln w="28575">
              <a:solidFill>
                <a:srgbClr val="C0392B"/>
              </a:solidFill>
            </a:ln>
            <a:effectLst/>
            <a:sp3d/>
          </c:spPr>
          <c:marker>
            <c:symbol val="none"/>
          </c:marker>
          <c:xVal>
            <c:numRef>
              <c:f>Calc!$A$36:$A$86</c:f>
            </c:numRef>
          </c:xVal>
          <c:yVal>
            <c:numRef>
              <c:f>Calc!$C$36:$C$86</c:f>
              <c:numCache/>
            </c:numRef>
          </c:yVal>
          <c:smooth val="0"/>
        </c:ser>
        <c:ser>
          <c:idx val="8"/>
          <c:order val="8"/>
          <c:tx>
            <c:v>Minimum rate</c:v>
          </c:tx>
          <c:spPr>
            <a:ln w="15875">
              <a:solidFill>
                <a:srgbClr val="7F7F7F"/>
              </a:solidFill>
              <a:prstDash val="dash"/>
            </a:ln>
            <a:effectLst/>
            <a:sp3d/>
          </c:spPr>
          <c:marker>
            <c:symbol val="none"/>
          </c:marker>
          <c:xVal>
            <c:numRef>
              <c:f>Calc!$B$187:$B$193</c:f>
            </c:numRef>
          </c:xVal>
          <c:yVal>
            <c:numRef>
              <c:f>Calc!$C$187:$C$193</c:f>
              <c:numCache/>
            </c:numRef>
          </c:yVal>
          <c:smooth val="0"/>
        </c:ser>
        <c:ser>
          <c:idx val="9"/>
          <c:order val="9"/>
          <c:tx>
            <c:v>Maximum rate</c:v>
          </c:tx>
          <c:spPr>
            <a:ln w="15875">
              <a:solidFill>
                <a:srgbClr val="7F7F7F"/>
              </a:solidFill>
              <a:prstDash val="dash"/>
            </a:ln>
            <a:effectLst/>
            <a:sp3d/>
          </c:spPr>
          <c:marker>
            <c:symbol val="none"/>
          </c:marker>
          <c:xVal>
            <c:numRef>
              <c:f>Calc!$D$187:$D$193</c:f>
            </c:numRef>
          </c:xVal>
          <c:yVal>
            <c:numRef>
              <c:f>Calc!$E$187:$E$193</c:f>
              <c:numCache/>
            </c:numRef>
          </c:yVal>
          <c:smooth val="0"/>
        </c:ser>
        <c:ser>
          <c:idx val="10"/>
          <c:order val="10"/>
          <c:tx>
            <c:v>Operating point</c:v>
          </c:tx>
          <c:spPr>
            <a:ln>
              <a:noFill/>
            </a:ln>
            <a:effectLst/>
            <a:sp3d/>
          </c:spPr>
          <c:marker>
            <c:symbol val="diamond"/>
            <c:size val="11"/>
            <c:spPr>
              <a:solidFill>
                <a:srgbClr val="111111"/>
              </a:solidFill>
              <a:ln>
                <a:solidFill>
                  <a:srgbClr val="111111"/>
                </a:solidFill>
              </a:ln>
              <a:effectLst/>
              <a:sp3d/>
            </c:spPr>
          </c:marker>
          <c:xVal>
            <c:numRef>
              <c:f>Calc!$B$162</c:f>
            </c:numRef>
          </c:xVal>
          <c:yVal>
            <c:numRef>
              <c:f>Calc!$C$162</c:f>
              <c:numCache/>
            </c:numRef>
          </c:yVal>
          <c:smooth val="0"/>
        </c:ser>
        <c:axId val="1"/>
        <c:axId val="2"/>
      </c:scatterChart>
      <c:valAx>
        <c:axId val="1"/>
        <c:scaling>
          <c:orientation val="minMax"/>
          <c:min val="0"/>
        </c:scaling>
        <c:delete val="0"/>
        <c:axPos val="b"/>
        <c:title>
          <c:tx>
            <c:rich>
              <a:bodyPr rot="0" spcFirstLastPara="1" vertOverflow="ellipsis" vert="horz" wrap="square" anchor="ctr" anchorCtr="1"/>
              <a:lstStyle/>
              <a:p>
                <a:pPr>
                  <a:defRPr sz="1080" b="1" i="0" u="none" strike="noStrike" kern="1200" baseline="0">
                    <a:effectLst/>
                    <a:latin typeface="+mn-lt"/>
                    <a:ea typeface="+mn-ea"/>
                    <a:cs typeface="+mn-cs"/>
                  </a:defRPr>
                </a:pPr>
                <a:r>
                  <a:rPr/>
                  <a:t>Rate (bbl/d)</a:t>
                </a:r>
              </a:p>
            </c:rich>
          </c:tx>
          <c:layout/>
          <c:overlay val="0"/>
          <c:spPr>
            <a:noFill/>
            <a:ln>
              <a:noFill/>
            </a:ln>
            <a:effectLst/>
          </c:spPr>
        </c:title>
        <c:numFmt formatCode="#,##0" sourceLinked="0"/>
        <c:tickLblPos val="nextTo"/>
        <c:txPr>
          <a:bodyPr rot="-60000000" spcFirstLastPara="1" vertOverflow="ellipsis" vert="horz" wrap="square" anchor="ctr" anchorCtr="1"/>
          <a:lstStyle/>
          <a:p>
            <a:pPr>
              <a:defRPr kern="1200" sz="900"/>
            </a:pPr>
          </a:p>
        </c:txPr>
        <c:crossAx val="2"/>
        <c:crosses val="autoZero"/>
      </c:valAx>
      <c:valAx>
        <c:axId val="2"/>
        <c:scaling>
          <c:orientation val="minMax"/>
          <c:min val="0"/>
        </c:scaling>
        <c:delete val="0"/>
        <c:axPos val="l"/>
        <c:majorGridlines/>
        <c:title>
          <c:tx>
            <c:rich>
              <a:bodyPr rot="-5400000" spcFirstLastPara="1" vertOverflow="ellipsis" vert="horz" wrap="square" anchor="ctr" anchorCtr="1"/>
              <a:lstStyle/>
              <a:p>
                <a:pPr>
                  <a:defRPr sz="1080" b="1" i="0" u="none" strike="noStrike" kern="1200" baseline="0">
                    <a:effectLst/>
                    <a:latin typeface="+mn-lt"/>
                    <a:ea typeface="+mn-ea"/>
                    <a:cs typeface="+mn-cs"/>
                  </a:defRPr>
                </a:pPr>
                <a:r>
                  <a:rPr/>
                  <a:t>Head (ft)</a:t>
                </a:r>
              </a:p>
            </c:rich>
          </c:tx>
          <c:layout/>
          <c:overlay val="0"/>
          <c:spPr>
            <a:noFill/>
            <a:ln>
              <a:noFill/>
            </a:ln>
            <a:effectLst/>
          </c:spPr>
        </c:title>
        <c:numFmt formatCode="#,##0" sourceLinked="0"/>
        <c:tickLblPos val="nextTo"/>
        <c:txPr>
          <a:bodyPr rot="-60000000" spcFirstLastPara="1" vertOverflow="ellipsis" vert="horz" wrap="square" anchor="ctr" anchorCtr="1"/>
          <a:lstStyle/>
          <a:p>
            <a:pPr>
              <a:defRPr kern="1200" sz="900"/>
            </a:pPr>
          </a:p>
        </c:txPr>
        <c:crossAx val="1"/>
        <c:crosses val="autoZero"/>
        <c:crossBetween val="between"/>
      </c:valAx>
    </c:plotArea>
    <c:legend>
      <c:legendPos val="b"/>
      <c:layout/>
      <c:overlay val="0"/>
      <c:txPr>
        <a:bodyPr anchorCtr="1" anchor="ctr" wrap="square" vert="horz" vertOverflow="ellipsis" spcFirstLastPara="1" rot="0"/>
        <a:lstStyle/>
        <a:p>
          <a:pPr>
            <a:defRPr/>
          </a:pPr>
          <a:endParaRPr/>
        </a:p>
      </c:txPr>
    </c:legend>
    <c:plotVisOnly val="1"/>
  </c:chart>
  <c:printSettings>
    <c:headerFooter/>
    <c:pageMargins b="0.75" l="0.7" r="0.7" t="0.75" header="0.3" footer="0.3"/>
    <c:pageSetup/>
  </c:printSettings>
</c:chartSpace>
</file>

<file path=xl/drawings/_rels/drawing3.xml.rels><?xml version="1.0" encoding="UTF-8" standalone="yes"?><Relationships xmlns="http://schemas.openxmlformats.org/package/2006/relationships"><Relationship Id="rId1" Type="http://schemas.openxmlformats.org/officeDocument/2006/relationships/chart" Target="../charts/chart1.xml"/></Relationships>
</file>

<file path=xl/drawings/_rels/drawing5.xml.rels><?xml version="1.0" encoding="UTF-8" standalone="yes"?><Relationships xmlns="http://schemas.openxmlformats.org/package/2006/relationships"><Relationship Id="rId1" Type="http://schemas.openxmlformats.org/officeDocument/2006/relationships/chart" Target="../charts/chart2.xml"/><Relationship Id="rId2" Type="http://schemas.openxmlformats.org/officeDocument/2006/relationships/chart" Target="../charts/chart3.xml"/></Relationships>
</file>

<file path=xl/drawings/_rels/drawing6.xml.rels><?xml version="1.0" encoding="UTF-8" standalone="yes"?><Relationships xmlns="http://schemas.openxmlformats.org/package/2006/relationships"><Relationship Id="rId1" Type="http://schemas.openxmlformats.org/officeDocument/2006/relationships/chart" Target="../charts/chart4.xml"/></Relationships>
</file>

<file path=xl/drawings/drawing3.xml><?xml version="1.0" encoding="utf-8"?>
<xdr:wsDr xmlns:xdr="http://schemas.openxmlformats.org/drawingml/2006/spreadsheetDrawing" xmlns:a="http://schemas.openxmlformats.org/drawingml/2006/main">
  <xdr:twoCellAnchor>
    <xdr:from>
      <xdr:col>5</xdr:col>
      <xdr:colOff>0</xdr:colOff>
      <xdr:row>3</xdr:row>
      <xdr:rowOff>0</xdr:rowOff>
    </xdr:from>
    <xdr:to>
      <xdr:col>13</xdr:col>
      <xdr:colOff>457200</xdr:colOff>
      <xdr:row>20</xdr:row>
      <xdr:rowOff>0</xdr:rowOff>
    </xdr:to>
    <graphicFrame xmlns="http://schemas.openxmlformats.org/drawingml/2006/spreadsheetDrawing" macro="">
      <xdr:nvGraphicFramePr>
        <xdr:cNvPr id="3" name="SingleStageCurv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graphicFrame>
    <clientData xmlns="http://schemas.openxmlformats.org/drawingml/2006/spreadsheetDrawing"/>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7</xdr:row>
      <xdr:rowOff>0</xdr:rowOff>
    </xdr:from>
    <xdr:to>
      <xdr:col>8</xdr:col>
      <xdr:colOff>152400</xdr:colOff>
      <xdr:row>29</xdr:row>
      <xdr:rowOff>0</xdr:rowOff>
    </xdr:to>
    <graphicFrame xmlns="http://schemas.openxmlformats.org/drawingml/2006/spreadsheetDrawing" macro="">
      <xdr:nvGraphicFramePr>
        <xdr:cNvPr id="3" name="PerformanceHead"/>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graphicFrame>
    <clientData xmlns="http://schemas.openxmlformats.org/drawingml/2006/spreadsheetDrawing"/>
  </xdr:twoCellAnchor>
  <xdr:twoCellAnchor>
    <xdr:from>
      <xdr:col>0</xdr:col>
      <xdr:colOff>0</xdr:colOff>
      <xdr:row>30</xdr:row>
      <xdr:rowOff>0</xdr:rowOff>
    </xdr:from>
    <xdr:to>
      <xdr:col>8</xdr:col>
      <xdr:colOff>152400</xdr:colOff>
      <xdr:row>45</xdr:row>
      <xdr:rowOff>0</xdr:rowOff>
    </xdr:to>
    <graphicFrame xmlns="http://schemas.openxmlformats.org/drawingml/2006/spreadsheetDrawing" macro="">
      <xdr:nvGraphicFramePr>
        <xdr:cNvPr id="4" name="PerformanceBhp"/>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graphicFrame>
    <clientData xmlns="http://schemas.openxmlformats.org/drawingml/2006/spreadsheetDrawing"/>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xdr:row>
      <xdr:rowOff>0</xdr:rowOff>
    </xdr:from>
    <xdr:to>
      <xdr:col>0</xdr:col>
      <xdr:colOff>8572500</xdr:colOff>
      <xdr:row>31</xdr:row>
      <xdr:rowOff>0</xdr:rowOff>
    </xdr:to>
    <graphicFrame xmlns="http://schemas.openxmlformats.org/drawingml/2006/spreadsheetDrawing" macro="">
      <xdr:nvGraphicFramePr>
        <xdr:cNvPr id="3" name="Tornado"/>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graphicFrame>
    <clientData xmlns="http://schemas.openxmlformats.org/drawingml/2006/spreadsheetDrawing"/>
  </xdr:twoCellAnchor>
</xdr:wsDr>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types/>
</rvTypesInfo>
</file>

<file path=xl/richData/rdarray.xml><?xml version="1.0" encoding="utf-8"?>
<arrayData xmlns="http://schemas.microsoft.com/office/spreadsheetml/2017/richdata2" count="0"/>
</file>

<file path=xl/richData/rdrichvalue.xml><?xml version="1.0" encoding="utf-8"?>
<rvData xmlns="http://schemas.microsoft.com/office/spreadsheetml/2017/richdata" count="0"/>
</file>

<file path=xl/richData/rdrichvaluestructure.xml><?xml version="1.0" encoding="utf-8"?>
<rvStructures xmlns="http://schemas.microsoft.com/office/spreadsheetml/2017/richdata" count="0"/>
</file>

<file path=xl/worksheets/_rels/sheet3.xml.rels><?xml version="1.0" encoding="UTF-8" standalone="yes"?><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Relationships xmlns="http://schemas.openxmlformats.org/package/2006/relationships"><Relationship Id="rId1" Type="http://schemas.openxmlformats.org/officeDocument/2006/relationships/drawing" Target="../drawings/drawing6.xml"/></Relationships>
</file>

<file path=xl/worksheets/sheet1.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A32"/>
  <sheetViews>
    <sheetView workbookViewId="0" showGridLines="0"/>
  </sheetViews>
  <sheetFormatPr defaultRowHeight="15"/>
  <cols>
    <col min="1" max="1" width="120" customWidth="1"/>
  </cols>
  <sheetData>
    <row r="1">
      <c r="A1" s="2" t="s">
        <v>0</v>
      </c>
    </row>
    <row r="3">
      <c r="A3" s="3" t="s">
        <v>1</v>
      </c>
    </row>
    <row r="4" ht="78" customHeight="1">
      <c r="A4" s="5" t="s">
        <v>2</v>
      </c>
    </row>
    <row r="5" ht="48" customHeight="1">
      <c r="A5" s="5" t="s">
        <v>3</v>
      </c>
    </row>
    <row r="7">
      <c r="A7" s="3" t="s">
        <v>4</v>
      </c>
    </row>
    <row r="8" ht="48" customHeight="1">
      <c r="A8" s="5" t="s">
        <v>5</v>
      </c>
    </row>
    <row r="9" ht="48" customHeight="1">
      <c r="A9" s="5" t="s">
        <v>6</v>
      </c>
    </row>
    <row r="11">
      <c r="A11" s="3" t="s">
        <v>7</v>
      </c>
    </row>
    <row r="12" ht="48" customHeight="1">
      <c r="A12" s="5" t="s">
        <v>8</v>
      </c>
    </row>
    <row r="13" ht="78" customHeight="1">
      <c r="A13" s="5" t="s">
        <v>9</v>
      </c>
    </row>
    <row r="15">
      <c r="A15" s="3" t="s">
        <v>10</v>
      </c>
    </row>
    <row r="16" ht="78" customHeight="1">
      <c r="A16" s="5" t="s">
        <v>11</v>
      </c>
    </row>
    <row r="17" ht="48" customHeight="1">
      <c r="A17" s="5" t="s">
        <v>12</v>
      </c>
    </row>
    <row r="18" ht="48" customHeight="1">
      <c r="A18" s="5" t="s">
        <v>13</v>
      </c>
    </row>
    <row r="19" ht="18" customHeight="1">
      <c r="A19" s="5" t="s">
        <v>14</v>
      </c>
    </row>
    <row r="21">
      <c r="A21" s="3" t="s">
        <v>15</v>
      </c>
    </row>
    <row r="22" ht="78" customHeight="1">
      <c r="A22" s="5" t="s">
        <v>16</v>
      </c>
    </row>
    <row r="24">
      <c r="A24" s="3" t="s">
        <v>17</v>
      </c>
    </row>
    <row r="25" ht="48" customHeight="1">
      <c r="A25" s="5" t="s">
        <v>18</v>
      </c>
    </row>
    <row r="26" ht="33" customHeight="1">
      <c r="A26" s="5" t="s">
        <v>19</v>
      </c>
    </row>
    <row r="27" ht="18" customHeight="1">
      <c r="A27" s="5" t="s">
        <v>20</v>
      </c>
    </row>
    <row r="28" ht="48" customHeight="1">
      <c r="A28" s="5" t="s">
        <v>21</v>
      </c>
    </row>
    <row r="29" ht="33" customHeight="1">
      <c r="A29" s="5" t="s">
        <v>22</v>
      </c>
    </row>
    <row r="31">
      <c r="A31" s="3" t="s">
        <v>23</v>
      </c>
    </row>
    <row r="32" ht="63" customHeight="1">
      <c r="A32" s="5" t="s">
        <v>24</v>
      </c>
    </row>
  </sheetData>
  <pageSetup orientation="portrait" fitToWidth="1" fitToHeight="0"/>
  <headerFooter/>
</worksheet>
</file>

<file path=xl/worksheets/sheet2.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dimension ref="A1:I35"/>
  <sheetViews>
    <sheetView workbookViewId="0"/>
  </sheetViews>
  <sheetFormatPr defaultRowHeight="15"/>
  <cols>
    <col min="1" max="1" width="52" customWidth="1"/>
    <col min="2" max="2" width="12" customWidth="1"/>
    <col min="3" max="3" width="12" customWidth="1"/>
    <col min="4" max="4" width="62" customWidth="1"/>
    <col min="5" max="5" width="10" customWidth="1"/>
    <col min="6" max="6" width="10" customWidth="1"/>
    <col min="7" max="7" width="10" customWidth="1"/>
    <col min="8" max="8" width="10" customWidth="1"/>
    <col min="9" max="9" width="10" customWidth="1"/>
  </cols>
  <sheetData>
    <row r="1">
      <c r="A1" s="1" t="s">
        <v>25</v>
      </c>
    </row>
    <row r="2" ht="45" customHeight="1">
      <c r="A2" s="6" t="s">
        <v>26</v>
      </c>
      <c r="B2" s="6"/>
      <c r="C2" s="6"/>
      <c r="D2" s="6"/>
    </row>
    <row r="4">
      <c r="A4" s="7" t="s">
        <v>4</v>
      </c>
      <c r="B4" s="7"/>
      <c r="C4" s="7"/>
      <c r="D4" s="7"/>
    </row>
    <row r="5">
      <c r="A5" s="0" t="s">
        <v>27</v>
      </c>
      <c r="B5" s="8">
        <v>3000</v>
      </c>
      <c r="C5" s="0" t="s">
        <v>28</v>
      </c>
      <c r="D5" s="9" t="s">
        <v>29</v>
      </c>
    </row>
    <row r="6">
      <c r="A6" s="0" t="s">
        <v>30</v>
      </c>
      <c r="B6" s="8">
        <v>0</v>
      </c>
      <c r="C6" s="0" t="s">
        <v>31</v>
      </c>
      <c r="D6" s="9" t="s">
        <v>32</v>
      </c>
    </row>
    <row r="7">
      <c r="A7" s="0" t="s">
        <v>33</v>
      </c>
      <c r="B7" s="8">
        <v>1.07</v>
      </c>
      <c r="C7" s="0" t="s">
        <v>34</v>
      </c>
      <c r="D7" s="9" t="str">
        <f>IF(DWS_SGFlag,"CHECK: brine SG is normally 0.9–1.3. SG is not the psi/ft gradient (0.463 psi/ft is SG 1.07)","Brine at loop conditions")</f>
        <v>Brine at loop conditions</v>
      </c>
    </row>
    <row r="8">
      <c r="A8" s="0" t="s">
        <v>35</v>
      </c>
      <c r="B8" s="10">
        <f>DWS_Grad</f>
        <v>0.46320346320346323</v>
      </c>
      <c r="C8" s="0" t="s">
        <v>36</v>
      </c>
      <c r="D8" s="9" t="s">
        <v>37</v>
      </c>
    </row>
    <row r="9">
      <c r="A9" s="0" t="s">
        <v>38</v>
      </c>
      <c r="B9" s="8">
        <v>3200</v>
      </c>
      <c r="C9" s="0" t="s">
        <v>31</v>
      </c>
      <c r="D9" s="9" t="s">
        <v>39</v>
      </c>
    </row>
    <row r="10">
      <c r="A10" s="0" t="s">
        <v>40</v>
      </c>
      <c r="B10" s="8">
        <v>10</v>
      </c>
      <c r="C10" s="0" t="s">
        <v>41</v>
      </c>
      <c r="D10" s="9" t="s">
        <v>42</v>
      </c>
    </row>
    <row r="11">
      <c r="A11" s="0" t="s">
        <v>43</v>
      </c>
      <c r="B11" s="8">
        <v>3246</v>
      </c>
      <c r="C11" s="0" t="s">
        <v>31</v>
      </c>
      <c r="D11" s="9" t="s">
        <v>44</v>
      </c>
    </row>
    <row r="12">
      <c r="A12" s="0" t="s">
        <v>45</v>
      </c>
      <c r="B12" s="8">
        <v>8</v>
      </c>
      <c r="C12" s="0" t="s">
        <v>41</v>
      </c>
      <c r="D12" s="9" t="s">
        <v>46</v>
      </c>
    </row>
    <row r="13">
      <c r="A13" s="0" t="s">
        <v>47</v>
      </c>
      <c r="B13" s="8">
        <v>100</v>
      </c>
      <c r="C13" s="0" t="s">
        <v>48</v>
      </c>
      <c r="D13" s="9" t="s">
        <v>49</v>
      </c>
    </row>
    <row r="14">
      <c r="A14" s="0" t="s">
        <v>50</v>
      </c>
      <c r="B14" s="11">
        <f>DWS_Hst</f>
        <v>-0.6915887850467328</v>
      </c>
      <c r="C14" s="0" t="s">
        <v>48</v>
      </c>
      <c r="D14" s="9" t="str">
        <f>IF(DWS_HstFlag,"CHECK: in one connected aquifer P_inj = P_drain + gradient × ΔZ (or equal pressures with ΔZ = 0). Enter 0 for P_inj to compute it","Consistent with one connected aquifer")</f>
        <v>Consistent with one connected aquifer</v>
      </c>
    </row>
    <row r="15">
      <c r="A15" s="0" t="s">
        <v>51</v>
      </c>
      <c r="B15" s="8">
        <v>3.958</v>
      </c>
      <c r="C15" s="0" t="s">
        <v>52</v>
      </c>
      <c r="D15" s="9" t="s">
        <v>53</v>
      </c>
    </row>
    <row r="16">
      <c r="A16" s="0" t="s">
        <v>54</v>
      </c>
      <c r="B16" s="8">
        <v>150</v>
      </c>
      <c r="C16" s="0" t="s">
        <v>48</v>
      </c>
      <c r="D16" s="9" t="s">
        <v>55</v>
      </c>
    </row>
    <row r="17">
      <c r="A17" s="0" t="s">
        <v>56</v>
      </c>
      <c r="B17" s="8">
        <v>0</v>
      </c>
      <c r="C17" s="0" t="s">
        <v>48</v>
      </c>
      <c r="D17" s="9" t="s">
        <v>57</v>
      </c>
    </row>
    <row r="19">
      <c r="A19" s="7" t="s">
        <v>58</v>
      </c>
      <c r="B19" s="7"/>
      <c r="C19" s="7"/>
      <c r="D19" s="7"/>
    </row>
    <row r="20">
      <c r="A20" s="0" t="s">
        <v>59</v>
      </c>
      <c r="B20" s="8">
        <v>60</v>
      </c>
      <c r="C20" s="0" t="s">
        <v>60</v>
      </c>
      <c r="D20" s="9" t="s">
        <v>61</v>
      </c>
    </row>
    <row r="21">
      <c r="A21" s="0" t="s">
        <v>62</v>
      </c>
      <c r="B21" s="8">
        <v>0</v>
      </c>
      <c r="C21" s="0" t="s">
        <v>60</v>
      </c>
      <c r="D21" s="9" t="s">
        <v>63</v>
      </c>
    </row>
    <row r="22">
      <c r="A22" s="0" t="s">
        <v>64</v>
      </c>
      <c r="B22" s="8">
        <v>0</v>
      </c>
      <c r="C22" s="0" t="s">
        <v>65</v>
      </c>
      <c r="D22" s="9" t="s">
        <v>66</v>
      </c>
    </row>
    <row r="24">
      <c r="A24" s="7" t="s">
        <v>67</v>
      </c>
      <c r="B24" s="7"/>
      <c r="C24" s="7"/>
      <c r="D24" s="7"/>
    </row>
    <row r="25">
      <c r="A25" s="0" t="s">
        <v>68</v>
      </c>
      <c r="B25" s="8">
        <v>60</v>
      </c>
      <c r="C25" s="0" t="s">
        <v>69</v>
      </c>
      <c r="D25" s="9" t="s">
        <v>70</v>
      </c>
    </row>
    <row r="26">
      <c r="A26" s="0" t="s">
        <v>71</v>
      </c>
      <c r="B26" s="8">
        <v>1.1</v>
      </c>
      <c r="C26" s="0" t="s">
        <v>34</v>
      </c>
      <c r="D26" s="9" t="s">
        <v>72</v>
      </c>
    </row>
    <row r="27">
      <c r="A27" s="0" t="s">
        <v>73</v>
      </c>
      <c r="B27" s="8">
        <v>5.62</v>
      </c>
      <c r="C27" s="0" t="s">
        <v>52</v>
      </c>
    </row>
    <row r="28">
      <c r="A28" s="0" t="s">
        <v>74</v>
      </c>
      <c r="B28" s="8">
        <v>6.276</v>
      </c>
      <c r="C28" s="0" t="s">
        <v>52</v>
      </c>
      <c r="D28" s="9" t="s">
        <v>75</v>
      </c>
    </row>
    <row r="29">
      <c r="A29" s="0" t="s">
        <v>76</v>
      </c>
      <c r="B29" s="8">
        <v>180</v>
      </c>
      <c r="C29" s="0" t="s">
        <v>77</v>
      </c>
    </row>
    <row r="30">
      <c r="A30" s="0" t="s">
        <v>78</v>
      </c>
      <c r="B30" s="8">
        <v>0.875</v>
      </c>
      <c r="C30" s="0" t="s">
        <v>52</v>
      </c>
      <c r="D30" s="9" t="s">
        <v>79</v>
      </c>
    </row>
    <row r="31">
      <c r="A31" s="0" t="s">
        <v>80</v>
      </c>
      <c r="B31" s="8">
        <v>5000</v>
      </c>
      <c r="C31" s="0" t="s">
        <v>31</v>
      </c>
    </row>
    <row r="33">
      <c r="A33" s="7" t="s">
        <v>81</v>
      </c>
      <c r="B33" s="7"/>
      <c r="C33" s="7"/>
      <c r="D33" s="7"/>
    </row>
    <row r="34">
      <c r="A34" s="0" t="s">
        <v>82</v>
      </c>
      <c r="B34" s="12">
        <v>2000</v>
      </c>
      <c r="C34" s="12">
        <v>2500</v>
      </c>
      <c r="D34" s="12">
        <v>3000</v>
      </c>
      <c r="E34" s="12">
        <v>3500</v>
      </c>
      <c r="F34" s="12">
        <v>4000</v>
      </c>
      <c r="G34" s="0" t="s">
        <v>28</v>
      </c>
    </row>
    <row r="35">
      <c r="A35" s="0" t="s">
        <v>83</v>
      </c>
      <c r="B35" s="13">
        <v>40</v>
      </c>
      <c r="C35" s="13">
        <v>45</v>
      </c>
      <c r="D35" s="13">
        <v>50</v>
      </c>
      <c r="E35" s="13">
        <v>55</v>
      </c>
      <c r="F35" s="13">
        <v>60</v>
      </c>
      <c r="G35" s="13">
        <v>65</v>
      </c>
      <c r="H35" s="13">
        <v>70</v>
      </c>
      <c r="I35" s="0" t="s">
        <v>60</v>
      </c>
    </row>
  </sheetData>
  <mergeCells>
    <mergeCell ref="A2:D2"/>
    <mergeCell ref="A4:D4"/>
    <mergeCell ref="A19:D19"/>
    <mergeCell ref="A24:D24"/>
    <mergeCell ref="A33:D33"/>
  </mergeCells>
  <conditionalFormatting sqref="D7">
    <cfRule type="expression" dxfId="0" priority="1">
      <formula>DWS_SGFlag</formula>
    </cfRule>
  </conditionalFormatting>
  <conditionalFormatting sqref="B7">
    <cfRule type="expression" dxfId="1" priority="2">
      <formula>DWS_SGFlag</formula>
    </cfRule>
  </conditionalFormatting>
  <conditionalFormatting sqref="D14">
    <cfRule type="expression" dxfId="2" priority="3">
      <formula>DWS_HstFlag</formula>
    </cfRule>
  </conditionalFormatting>
  <conditionalFormatting sqref="B14">
    <cfRule type="expression" dxfId="3" priority="4">
      <formula>DWS_HstFlag</formula>
    </cfRule>
  </conditionalFormatting>
  <headerFooter/>
</worksheet>
</file>

<file path=xl/worksheets/sheet3.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dimension ref="A1:D28"/>
  <sheetViews>
    <sheetView workbookViewId="0"/>
  </sheetViews>
  <sheetFormatPr defaultRowHeight="15"/>
  <cols>
    <col min="1" max="1" width="38" customWidth="1"/>
    <col min="2" max="2" width="16" customWidth="1"/>
    <col min="3" max="3" width="16" customWidth="1"/>
    <col min="4" max="4" width="16" customWidth="1"/>
  </cols>
  <sheetData>
    <row r="1">
      <c r="A1" s="1" t="s">
        <v>84</v>
      </c>
    </row>
    <row r="2" ht="60" customHeight="1">
      <c r="A2" s="6" t="s">
        <v>85</v>
      </c>
      <c r="B2" s="6"/>
      <c r="C2" s="6"/>
      <c r="D2" s="6"/>
    </row>
    <row r="4">
      <c r="A4" s="7" t="s">
        <v>86</v>
      </c>
      <c r="B4" s="7"/>
      <c r="C4" s="7"/>
      <c r="D4" s="7"/>
    </row>
    <row r="5">
      <c r="A5" s="0" t="s">
        <v>87</v>
      </c>
      <c r="B5" s="8" t="s">
        <v>88</v>
      </c>
      <c r="C5" s="14"/>
      <c r="D5" s="14"/>
    </row>
    <row r="6">
      <c r="A6" s="0" t="s">
        <v>89</v>
      </c>
      <c r="B6" s="8">
        <v>2200</v>
      </c>
      <c r="C6" s="0" t="s">
        <v>28</v>
      </c>
    </row>
    <row r="7">
      <c r="A7" s="0" t="s">
        <v>90</v>
      </c>
      <c r="B7" s="8">
        <v>3800</v>
      </c>
      <c r="C7" s="0" t="s">
        <v>28</v>
      </c>
    </row>
    <row r="9">
      <c r="A9" s="7" t="s">
        <v>91</v>
      </c>
      <c r="B9" s="7"/>
      <c r="C9" s="7"/>
      <c r="D9" s="7"/>
    </row>
    <row r="10">
      <c r="A10" s="1" t="s">
        <v>92</v>
      </c>
      <c r="B10" s="1" t="s">
        <v>93</v>
      </c>
      <c r="C10" s="1" t="s">
        <v>94</v>
      </c>
      <c r="D10" s="1" t="s">
        <v>95</v>
      </c>
    </row>
    <row r="11">
      <c r="A11" s="12">
        <v>0</v>
      </c>
      <c r="B11" s="15">
        <v>52</v>
      </c>
      <c r="C11" s="16">
        <v>0.8</v>
      </c>
      <c r="D11" s="17" cm="1">
        <f t="array" ref="D11">PO.ESP.Pump.Efficiency(PO.ESP.HydraulicHP(A11,B11,1),C11)</f>
        <v>0</v>
      </c>
    </row>
    <row r="12">
      <c r="A12" s="12">
        <v>500</v>
      </c>
      <c r="B12" s="15">
        <v>52.2</v>
      </c>
      <c r="C12" s="16">
        <v>0.924</v>
      </c>
      <c r="D12" s="17" cm="1">
        <f t="array" ref="D12">PO.ESP.Pump.Efficiency(PO.ESP.HydraulicHP(A12,B12,1),C12)</f>
        <v>0.20721828459845096</v>
      </c>
    </row>
    <row r="13">
      <c r="A13" s="12">
        <v>1000</v>
      </c>
      <c r="B13" s="15">
        <v>51.5</v>
      </c>
      <c r="C13" s="16">
        <v>1.003</v>
      </c>
      <c r="D13" s="17" cm="1">
        <f t="array" ref="D13">PO.ESP.Pump.Efficiency(PO.ESP.HydraulicHP(A13,B13,1),C13)</f>
        <v>0.37667416489618843</v>
      </c>
    </row>
    <row r="14">
      <c r="A14" s="12">
        <v>1500</v>
      </c>
      <c r="B14" s="15">
        <v>50</v>
      </c>
      <c r="C14" s="16">
        <v>1.081</v>
      </c>
      <c r="D14" s="17" cm="1">
        <f t="array" ref="D14">PO.ESP.Pump.Efficiency(PO.ESP.HydraulicHP(A14,B14,1),C14)</f>
        <v>0.5089734254387932</v>
      </c>
    </row>
    <row r="15">
      <c r="A15" s="12">
        <v>2000</v>
      </c>
      <c r="B15" s="15">
        <v>47.6</v>
      </c>
      <c r="C15" s="16">
        <v>1.159</v>
      </c>
      <c r="D15" s="17" cm="1">
        <f t="array" ref="D15">PO.ESP.Pump.Efficiency(PO.ESP.HydraulicHP(A15,B15,1),C15)</f>
        <v>0.6025776931839716</v>
      </c>
    </row>
    <row r="16">
      <c r="A16" s="12">
        <v>2500</v>
      </c>
      <c r="B16" s="15">
        <v>44.4</v>
      </c>
      <c r="C16" s="16">
        <v>1.234</v>
      </c>
      <c r="D16" s="17" cm="1">
        <f t="array" ref="D16">PO.ESP.Pump.Efficiency(PO.ESP.HydraulicHP(A16,B16,1),C16)</f>
        <v>0.6598836336231899</v>
      </c>
    </row>
    <row r="17">
      <c r="A17" s="12">
        <v>3000</v>
      </c>
      <c r="B17" s="15">
        <v>40.3</v>
      </c>
      <c r="C17" s="16">
        <v>1.308</v>
      </c>
      <c r="D17" s="17" cm="1">
        <f t="array" ref="D17">PO.ESP.Pump.Efficiency(PO.ESP.HydraulicHP(A17,B17,1),C17)</f>
        <v>0.6780755656832786</v>
      </c>
    </row>
    <row r="18">
      <c r="A18" s="12">
        <v>3500</v>
      </c>
      <c r="B18" s="15">
        <v>35.4</v>
      </c>
      <c r="C18" s="16">
        <v>1.378</v>
      </c>
      <c r="D18" s="17" cm="1">
        <f t="array" ref="D18">PO.ESP.Pump.Efficiency(PO.ESP.HydraulicHP(A18,B18,1),C18)</f>
        <v>0.6596014882653861</v>
      </c>
    </row>
    <row r="19">
      <c r="A19" s="12">
        <v>4000</v>
      </c>
      <c r="B19" s="15">
        <v>29.6</v>
      </c>
      <c r="C19" s="16">
        <v>1.441</v>
      </c>
      <c r="D19" s="17" cm="1">
        <f t="array" ref="D19">PO.ESP.Pump.Efficiency(PO.ESP.HydraulicHP(A19,B19,1),C19)</f>
        <v>0.6027639353345483</v>
      </c>
    </row>
    <row r="20">
      <c r="A20" s="12">
        <v>4500</v>
      </c>
      <c r="B20" s="15">
        <v>23</v>
      </c>
      <c r="C20" s="16">
        <v>1.491</v>
      </c>
      <c r="D20" s="17" cm="1">
        <f t="array" ref="D20">PO.ESP.Pump.Efficiency(PO.ESP.HydraulicHP(A20,B20,1),C20)</f>
        <v>0.5092396892026041</v>
      </c>
    </row>
    <row r="21">
      <c r="A21" s="12">
        <v>5000</v>
      </c>
      <c r="B21" s="15">
        <v>15.5</v>
      </c>
      <c r="C21" s="16">
        <v>1.509</v>
      </c>
      <c r="D21" s="17" cm="1">
        <f t="array" ref="D21">PO.ESP.Pump.Efficiency(PO.ESP.HydraulicHP(A21,B21,1),C21)</f>
        <v>0.37676625712125905</v>
      </c>
    </row>
    <row r="22">
      <c r="A22" s="12">
        <v>5500</v>
      </c>
      <c r="B22" s="15">
        <v>7.2</v>
      </c>
      <c r="C22" s="16">
        <v>1.397</v>
      </c>
      <c r="D22" s="17" cm="1">
        <f t="array" ref="D22">PO.ESP.Pump.Efficiency(PO.ESP.HydraulicHP(A22,B22,1),C22)</f>
        <v>0.20794970944226848</v>
      </c>
    </row>
    <row r="24">
      <c r="A24" s="7" t="s">
        <v>96</v>
      </c>
      <c r="B24" s="7"/>
      <c r="C24" s="7"/>
      <c r="D24" s="7"/>
    </row>
    <row r="25">
      <c r="A25" s="0" t="s">
        <v>97</v>
      </c>
      <c r="B25" s="19" cm="1">
        <f t="array" ref="B25">PO.ESP.Curve.BEP(DWS_CurveQ,DWS_CurveEff)</f>
        <v>2997.5</v>
      </c>
      <c r="C25" s="0" t="s">
        <v>28</v>
      </c>
    </row>
    <row r="26">
      <c r="A26" s="0" t="s">
        <v>98</v>
      </c>
      <c r="B26" s="20" cm="1">
        <f t="array" ref="B26">PO.ESP.Curve.BEP.Eff(DWS_CurveQ,DWS_CurveEff)</f>
        <v>0.6780764853490637</v>
      </c>
    </row>
    <row r="27">
      <c r="A27" s="0" t="s">
        <v>99</v>
      </c>
      <c r="B27" s="22" cm="1">
        <f t="array" ref="B27">PO.ESP.Curve.Head(DWS_QBEP,DWS_CurveQ,DWS_CurveH)</f>
        <v>40.32249359728323</v>
      </c>
      <c r="C27" s="0" t="s">
        <v>100</v>
      </c>
    </row>
    <row r="28">
      <c r="A28" s="0" t="s">
        <v>101</v>
      </c>
      <c r="B28" s="23" t="str">
        <f>TEXT(DWS_Qmin/DWS_QBEP,"0%")&amp;" – "&amp;TEXT(DWS_Qmax/DWS_QBEP,"0%")</f>
        <v>73% – 127%</v>
      </c>
    </row>
  </sheetData>
  <mergeCells>
    <mergeCell ref="A2:D2"/>
    <mergeCell ref="A4:D4"/>
    <mergeCell ref="A9:D9"/>
    <mergeCell ref="A24:D24"/>
  </mergeCells>
  <headerFooter/>
  <drawing r:id="rId1"/>
</worksheet>
</file>

<file path=xl/worksheets/sheet4.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H68"/>
  <sheetViews>
    <sheetView workbookViewId="0"/>
  </sheetViews>
  <sheetFormatPr defaultRowHeight="15"/>
  <cols>
    <col min="1" max="1" width="50" customWidth="1"/>
    <col min="2" max="2" width="14" customWidth="1"/>
    <col min="3" max="3" width="12" customWidth="1"/>
    <col min="4" max="4" width="14" customWidth="1"/>
    <col min="5" max="5" width="14" customWidth="1"/>
    <col min="6" max="6" width="24" customWidth="1"/>
    <col min="7" max="7" width="12" customWidth="1"/>
    <col min="8" max="8" width="12" customWidth="1"/>
  </cols>
  <sheetData>
    <row r="1">
      <c r="A1" s="24" t="s">
        <v>102</v>
      </c>
    </row>
    <row r="2" ht="30" customHeight="1">
      <c r="A2" s="6" t="s">
        <v>103</v>
      </c>
      <c r="B2" s="6"/>
      <c r="C2" s="6"/>
      <c r="D2" s="6"/>
      <c r="E2" s="6"/>
      <c r="F2" s="6"/>
      <c r="G2" s="6"/>
      <c r="H2" s="6"/>
    </row>
    <row r="4">
      <c r="A4" s="7" t="s">
        <v>104</v>
      </c>
      <c r="B4" s="7"/>
      <c r="C4" s="7"/>
    </row>
    <row r="5">
      <c r="A5" s="0" t="s">
        <v>105</v>
      </c>
      <c r="B5" s="23" t="str">
        <f>IF(DWS_Sink&gt;0,"Target sink of "&amp;TEXT(DWS_Sink,"#,##0")&amp;" psi (rate = PI × sink)","Target rate (Inputs)")</f>
        <v>Target rate (Inputs)</v>
      </c>
    </row>
    <row r="6">
      <c r="A6" s="1" t="s">
        <v>106</v>
      </c>
      <c r="B6" s="25">
        <f>DWS_Qd</f>
        <v>3000</v>
      </c>
      <c r="C6" s="0" t="s">
        <v>28</v>
      </c>
    </row>
    <row r="7">
      <c r="A7" s="0" t="s">
        <v>107</v>
      </c>
      <c r="B7" s="19" cm="1">
        <f t="array" ref="B7">PO.ESP.Nodal.Drawdown(DWS_Qd,DWS_PI)</f>
        <v>300</v>
      </c>
      <c r="C7" s="0" t="s">
        <v>31</v>
      </c>
    </row>
    <row r="8">
      <c r="A8" s="0" t="s">
        <v>108</v>
      </c>
      <c r="B8" s="19" cm="1">
        <f t="array" ref="B8">PO.ESP.Nodal.Drawdown(DWS_Qd,DWS_II)</f>
        <v>375</v>
      </c>
      <c r="C8" s="0" t="s">
        <v>31</v>
      </c>
    </row>
    <row r="9">
      <c r="A9" s="0" t="s">
        <v>109</v>
      </c>
      <c r="B9" s="19">
        <f>DWS_Pdr-B7</f>
        <v>2900</v>
      </c>
      <c r="C9" s="0" t="s">
        <v>31</v>
      </c>
    </row>
    <row r="10">
      <c r="A10" s="0" t="s">
        <v>110</v>
      </c>
      <c r="B10" s="19">
        <f>DWS_PinjSt+B8</f>
        <v>3621</v>
      </c>
      <c r="C10" s="0" t="s">
        <v>31</v>
      </c>
    </row>
    <row r="11">
      <c r="A11" s="0" t="s">
        <v>111</v>
      </c>
      <c r="B11" s="23" t="str">
        <f>IF(OR(DWS_SGFlag,DWS_HstFlag),"CHECK the Inputs sheet:"&amp;IF(DWS_SGFlag," SG is outside the brine range (SG is not psi/ft).","")&amp;IF(DWS_HstFlag," The static head between the zones is not ≈ 0.",""),"SG and zone pressures pass")</f>
        <v>SG and zone pressures pass</v>
      </c>
    </row>
    <row r="13">
      <c r="A13" s="7" t="s">
        <v>112</v>
      </c>
      <c r="B13" s="7"/>
      <c r="C13" s="7"/>
    </row>
    <row r="14">
      <c r="A14" s="0" t="s">
        <v>113</v>
      </c>
      <c r="B14" s="26">
        <f>DWS_HSink</f>
        <v>647.6635514018691</v>
      </c>
      <c r="C14" s="0" t="s">
        <v>48</v>
      </c>
    </row>
    <row r="15">
      <c r="A15" s="0" t="s">
        <v>114</v>
      </c>
      <c r="B15" s="26">
        <f>DWS_HInj</f>
        <v>809.5794392523364</v>
      </c>
      <c r="C15" s="0" t="s">
        <v>48</v>
      </c>
    </row>
    <row r="16">
      <c r="A16" s="0" t="s">
        <v>115</v>
      </c>
      <c r="B16" s="26">
        <f>DWS_Hst</f>
        <v>-0.6915887850467328</v>
      </c>
      <c r="C16" s="0" t="s">
        <v>48</v>
      </c>
    </row>
    <row r="17">
      <c r="A17" s="0" t="s">
        <v>116</v>
      </c>
      <c r="B17" s="26">
        <f>DWS_HfT</f>
        <v>1.081413199783986</v>
      </c>
      <c r="C17" s="0" t="s">
        <v>48</v>
      </c>
    </row>
    <row r="18">
      <c r="A18" s="0" t="s">
        <v>117</v>
      </c>
      <c r="B18" s="26">
        <f>DWS_TDHLoop</f>
        <v>1457.6328150689428</v>
      </c>
      <c r="C18" s="0" t="s">
        <v>48</v>
      </c>
    </row>
    <row r="19">
      <c r="A19" s="0" t="s">
        <v>118</v>
      </c>
      <c r="B19" s="23" t="str">
        <f>IF(DWS_TDHKnown&gt;0,"Known TDH (Inputs)","Loop hydraulics")</f>
        <v>Loop hydraulics</v>
      </c>
    </row>
    <row r="20">
      <c r="A20" s="1" t="s">
        <v>119</v>
      </c>
      <c r="B20" s="25">
        <f>DWS_TDH</f>
        <v>1457.6328150689428</v>
      </c>
      <c r="C20" s="0" t="s">
        <v>48</v>
      </c>
    </row>
    <row r="21">
      <c r="A21" s="0" t="s">
        <v>120</v>
      </c>
      <c r="B21" s="28">
        <f>DWS_SinkShare</f>
        <v>0.4444444444444445</v>
      </c>
    </row>
    <row r="22" ht="45" customHeight="1">
      <c r="A22" s="6" t="s">
        <v>121</v>
      </c>
      <c r="B22" s="6"/>
      <c r="C22" s="6"/>
      <c r="D22" s="6"/>
      <c r="E22" s="6"/>
      <c r="F22" s="6"/>
      <c r="G22" s="6"/>
      <c r="H22" s="6"/>
    </row>
    <row r="24">
      <c r="A24" s="7" t="s">
        <v>122</v>
      </c>
      <c r="B24" s="7"/>
      <c r="C24" s="7"/>
    </row>
    <row r="25">
      <c r="A25" s="0" t="s">
        <v>87</v>
      </c>
      <c r="B25" s="23" t="str">
        <f>DWS_PumpModel</f>
        <v>Generic 538-series mixed-flow stage (EXAMPLE)</v>
      </c>
    </row>
    <row r="26">
      <c r="A26" s="0" t="s">
        <v>97</v>
      </c>
      <c r="B26" s="19">
        <f>DWS_QBEP</f>
        <v>2997.5</v>
      </c>
      <c r="C26" s="0" t="s">
        <v>28</v>
      </c>
    </row>
    <row r="27">
      <c r="A27" s="0" t="s">
        <v>98</v>
      </c>
      <c r="B27" s="20">
        <f>DWS_EffBEP</f>
        <v>0.6780764853490637</v>
      </c>
    </row>
    <row r="28">
      <c r="A28" s="0" t="s">
        <v>123</v>
      </c>
      <c r="B28" s="29">
        <f>DWS_HStgT</f>
        <v>40.3</v>
      </c>
      <c r="C28" s="0" t="s">
        <v>100</v>
      </c>
    </row>
    <row r="29">
      <c r="A29" s="0" t="s">
        <v>124</v>
      </c>
      <c r="B29" s="22">
        <f>DWS_StagesReq</f>
        <v>36.16954876101595</v>
      </c>
      <c r="C29" s="0" t="s">
        <v>65</v>
      </c>
    </row>
    <row r="30">
      <c r="A30" s="1" t="s">
        <v>125</v>
      </c>
      <c r="B30" s="31">
        <f>DWS_N</f>
        <v>37</v>
      </c>
      <c r="C30" s="0" t="s">
        <v>65</v>
      </c>
    </row>
    <row r="31">
      <c r="A31" s="0" t="s">
        <v>126</v>
      </c>
      <c r="B31" s="19" cm="1">
        <f t="array" ref="B31">PO.ESP.Pump.TotalHead(DWS_N,DWS_HStgT)</f>
        <v>1491.1</v>
      </c>
      <c r="C31" s="0" t="s">
        <v>48</v>
      </c>
    </row>
    <row r="33">
      <c r="A33" s="7" t="s">
        <v>127</v>
      </c>
      <c r="B33" s="7"/>
      <c r="C33" s="7"/>
    </row>
    <row r="34">
      <c r="A34" s="1" t="s">
        <v>128</v>
      </c>
      <c r="B34" s="32">
        <f>DWS_F</f>
        <v>59.49134083372292</v>
      </c>
      <c r="C34" s="0" t="s">
        <v>60</v>
      </c>
    </row>
    <row r="35">
      <c r="A35" s="1" t="s">
        <v>129</v>
      </c>
      <c r="B35" s="25">
        <f>DWS_Qop</f>
        <v>2999.577284085927</v>
      </c>
      <c r="C35" s="0" t="s">
        <v>28</v>
      </c>
    </row>
    <row r="36">
      <c r="A36" s="0" t="s">
        <v>130</v>
      </c>
      <c r="B36" s="19">
        <f>DWS_TDHop</f>
        <v>1457.427199921033</v>
      </c>
      <c r="C36" s="0" t="s">
        <v>48</v>
      </c>
    </row>
    <row r="37">
      <c r="A37" s="0" t="s">
        <v>131</v>
      </c>
      <c r="B37" s="28">
        <f>DWS_Qop/(DWS_QBEP*DWS_R)</f>
        <v>1.0092490686974125</v>
      </c>
    </row>
    <row r="38">
      <c r="A38" s="0" t="s">
        <v>132</v>
      </c>
      <c r="B38" s="23" t="str">
        <f>TEXT(DWS_Qmin*DWS_R,"#,##0")&amp;" – "&amp;TEXT(DWS_Qmax*DWS_R,"#,##0")</f>
        <v>2,181 – 3,768</v>
      </c>
      <c r="C38" s="0" t="s">
        <v>28</v>
      </c>
    </row>
    <row r="39">
      <c r="A39" s="0" t="s">
        <v>133</v>
      </c>
      <c r="B39" s="23" t="str" cm="1">
        <f t="array" ref="B39">IF(PO.ESP.Curve.InRange(DWS_Qop,DWS_Qmin*DWS_R,DWS_Qmax*DWS_R),"Within recommended range",IF(DWS_Qop&lt;DWS_Qmin*DWS_R,"Below minimum rate","Above maximum rate"))</f>
        <v>Within recommended range</v>
      </c>
    </row>
    <row r="40">
      <c r="A40" s="1" t="s">
        <v>134</v>
      </c>
      <c r="B40" s="33">
        <f>DWS_EffOp</f>
        <v>0.6780177871817172</v>
      </c>
    </row>
    <row r="41">
      <c r="A41" s="0" t="s">
        <v>135</v>
      </c>
      <c r="B41" s="22" cm="1">
        <f t="array" ref="B41">PO.ESP.HydraulicHP(DWS_Qop,DWS_TDHop,DWS_SG)</f>
        <v>34.31549296945681</v>
      </c>
      <c r="C41" s="0" t="s">
        <v>69</v>
      </c>
    </row>
    <row r="42">
      <c r="A42" s="1" t="s">
        <v>136</v>
      </c>
      <c r="B42" s="32">
        <f>DWS_BHPop</f>
        <v>50.61857026899056</v>
      </c>
      <c r="C42" s="0" t="s">
        <v>69</v>
      </c>
    </row>
    <row r="43">
      <c r="A43" s="0" t="s">
        <v>137</v>
      </c>
      <c r="B43" s="19" cm="1">
        <f t="array" ref="B43">PO.ESP.Head.ToPressure(DWS_TDHop,DWS_SG)</f>
        <v>675.0853263703486</v>
      </c>
      <c r="C43" s="0" t="s">
        <v>31</v>
      </c>
    </row>
    <row r="44">
      <c r="A44" s="1" t="s">
        <v>138</v>
      </c>
      <c r="B44" s="25">
        <f>DWS_SinkOp</f>
        <v>299.95772840859274</v>
      </c>
      <c r="C44" s="0" t="s">
        <v>31</v>
      </c>
    </row>
    <row r="46">
      <c r="A46" s="7" t="s">
        <v>139</v>
      </c>
      <c r="B46" s="7"/>
      <c r="C46" s="7"/>
    </row>
    <row r="47">
      <c r="A47" s="1" t="s">
        <v>140</v>
      </c>
      <c r="B47" s="32" cm="1">
        <f t="array" ref="B47">PO.ESP.Motor.RequiredHP(DWS_BHPop,DWS_SF)</f>
        <v>55.68042729588962</v>
      </c>
      <c r="C47" s="0" t="s">
        <v>69</v>
      </c>
    </row>
    <row r="48">
      <c r="A48" s="0" t="s">
        <v>141</v>
      </c>
      <c r="B48" s="22">
        <f>DWS_MotorHP*DWS_R</f>
        <v>59.49134083372292</v>
      </c>
      <c r="C48" s="0" t="s">
        <v>69</v>
      </c>
    </row>
    <row r="49">
      <c r="A49" s="0" t="s">
        <v>142</v>
      </c>
      <c r="B49" s="28" cm="1">
        <f t="array" ref="B49">PO.ESP.Motor.LoadFactor(DWS_BHPop,B48)</f>
        <v>0.8508561003939787</v>
      </c>
    </row>
    <row r="50">
      <c r="A50" s="0" t="s">
        <v>143</v>
      </c>
      <c r="B50" s="23" t="str" cm="1">
        <f t="array" ref="B50">PO.ESP.Motor.Load.Status(B49)</f>
        <v>Optimal loading</v>
      </c>
    </row>
    <row r="51">
      <c r="A51" s="0" t="s">
        <v>144</v>
      </c>
      <c r="B51" s="29" cm="1">
        <f ref="B51:B51" t="array">PO.ESP.Motor.CoolingVelocity(DWS_Qop,DWS_CasingID,DWS_MotorOD)</f>
        <v>4.5740638481451255</v>
      </c>
      <c r="C51" s="0" t="s">
        <v>145</v>
      </c>
    </row>
    <row r="52">
      <c r="A52" s="0" t="s">
        <v>146</v>
      </c>
      <c r="B52" s="23" t="str">
        <f>IF(B51&gt;=1,"OK (1 ft/s or more)","Below 1 ft/s — fit a shroud")</f>
        <v>OK (1 ft/s or more)</v>
      </c>
    </row>
    <row r="53">
      <c r="A53" s="0" t="s">
        <v>147</v>
      </c>
      <c r="B53" s="30" cm="1">
        <f t="array" ref="B53">PO.ESP.Motor.Temp.Rise(DWS_Temp,DWS_BHPop,DWS_Qop,DWS_MotorOD)</f>
        <v>192.65464256724763</v>
      </c>
      <c r="C53" s="0" t="s">
        <v>77</v>
      </c>
    </row>
    <row r="55">
      <c r="A55" s="7" t="s">
        <v>148</v>
      </c>
      <c r="B55" s="7"/>
      <c r="C55" s="7"/>
    </row>
    <row r="56">
      <c r="A56" s="0" t="s">
        <v>149</v>
      </c>
      <c r="B56" s="19">
        <f>B43</f>
        <v>675.0853263703486</v>
      </c>
      <c r="C56" s="0" t="s">
        <v>31</v>
      </c>
    </row>
    <row r="57">
      <c r="A57" s="0" t="s">
        <v>150</v>
      </c>
      <c r="B57" s="23" t="str">
        <f>IF(B56&lt;=DWS_PackerRating,"Within rating","Exceeds the packer rating")</f>
        <v>Within rating</v>
      </c>
    </row>
    <row r="58">
      <c r="A58" s="0" t="s">
        <v>151</v>
      </c>
      <c r="B58" s="19" cm="1">
        <f ref="B58:B58" t="array">PO.ESP.Shaft.Thrust(B43,DWS_Shaft)</f>
        <v>405.9426249675637</v>
      </c>
      <c r="C58" s="0" t="s">
        <v>152</v>
      </c>
    </row>
    <row r="59" ht="45" customHeight="1">
      <c r="A59" s="6" t="s">
        <v>153</v>
      </c>
      <c r="B59" s="6"/>
      <c r="C59" s="6"/>
      <c r="D59" s="6"/>
      <c r="E59" s="6"/>
      <c r="F59" s="6"/>
      <c r="G59" s="6"/>
      <c r="H59" s="6"/>
    </row>
    <row r="61">
      <c r="A61" s="7" t="s">
        <v>154</v>
      </c>
      <c r="B61" s="7"/>
      <c r="C61" s="7"/>
      <c r="D61" s="7"/>
      <c r="E61" s="7"/>
      <c r="F61" s="7"/>
      <c r="G61" s="7"/>
      <c r="H61" s="7"/>
    </row>
    <row r="62">
      <c r="A62" s="1" t="s">
        <v>155</v>
      </c>
      <c r="B62" s="1" t="s">
        <v>92</v>
      </c>
      <c r="C62" s="1" t="s">
        <v>156</v>
      </c>
      <c r="D62" s="1" t="s">
        <v>157</v>
      </c>
      <c r="E62" s="1" t="s">
        <v>158</v>
      </c>
      <c r="F62" s="1" t="s">
        <v>133</v>
      </c>
      <c r="G62" s="1" t="s">
        <v>159</v>
      </c>
      <c r="H62" s="1" t="s">
        <v>142</v>
      </c>
    </row>
    <row r="63">
      <c r="A63" s="0" t="s">
        <v>160</v>
      </c>
      <c r="B63" s="18">
        <f>Calc!B92</f>
        <v>3000</v>
      </c>
      <c r="C63" s="18">
        <f>Calc!B93</f>
        <v>1457.6328150689428</v>
      </c>
      <c r="D63" s="21">
        <f>IFERROR(Calc!B143,"outside 0.5–1.25 × catalog")</f>
        <v>59.49134083372292</v>
      </c>
      <c r="E63" s="27">
        <f>IFERROR(B63/(DWS_QBEP*D63/DWS_Fbase),"")</f>
        <v>1.0093912972857089</v>
      </c>
      <c r="F63" s="0" t="str" cm="1">
        <f t="array" ref="F63">IFERROR(IF(PO.ESP.Curve.InRange(B63,DWS_Qmin*D63/DWS_Fbase,DWS_Qmax*D63/DWS_Fbase),"Within range",IF(B63&lt;DWS_Qmin*D63/DWS_Fbase,"Below minimum","Above maximum")),"")</f>
        <v>Within range</v>
      </c>
      <c r="G63" s="21" cm="1">
        <f ref="G63:G63" t="array">IFERROR(DWS_N*DWS_SG*PO.ESP.Curve.PowerAtSpeed(B63,D63,DWS_Fbase,DWS_CurveQ,DWS_CurveP),"")</f>
        <v>50.62094454003871</v>
      </c>
      <c r="H63" s="27" cm="1">
        <f t="array" ref="H63">IFERROR(PO.ESP.Motor.LoadFactor(G63,DWS_MotorHP*D63/DWS_Fbase),"")</f>
        <v>0.8508960099171946</v>
      </c>
    </row>
    <row r="64">
      <c r="A64" s="0" t="s">
        <v>161</v>
      </c>
      <c r="B64" s="18">
        <f>Calc!C92</f>
        <v>2000</v>
      </c>
      <c r="C64" s="18">
        <f>Calc!C93</f>
        <v>971.3145053256958</v>
      </c>
      <c r="D64" s="21">
        <f>IFERROR(Calc!C143,"outside 0.5–1.25 × catalog")</f>
        <v>46.457925409740426</v>
      </c>
      <c r="E64" s="27">
        <f>IFERROR(B64/(DWS_QBEP*D64/DWS_Fbase),"")</f>
        <v>0.8617122004738748</v>
      </c>
      <c r="F64" s="0" t="str" cm="1">
        <f t="array" ref="F64">IFERROR(IF(PO.ESP.Curve.InRange(B64,DWS_Qmin*D64/DWS_Fbase,DWS_Qmax*D64/DWS_Fbase),"Within range",IF(B64&lt;DWS_Qmin*D64/DWS_Fbase,"Below minimum","Above maximum")),"")</f>
        <v>Within range</v>
      </c>
      <c r="G64" s="21" cm="1">
        <f ref="G64:G64" t="array">IFERROR(DWS_N*DWS_SG*PO.ESP.Curve.PowerAtSpeed(B64,D64,DWS_Fbase,DWS_CurveQ,DWS_CurveP),"")</f>
        <v>22.906799443712163</v>
      </c>
      <c r="H64" s="27" cm="1">
        <f t="array" ref="H64">IFERROR(PO.ESP.Motor.LoadFactor(G64,DWS_MotorHP*D64/DWS_Fbase),"")</f>
        <v>0.4930654832664891</v>
      </c>
    </row>
    <row r="65">
      <c r="A65" s="0" t="s">
        <v>162</v>
      </c>
      <c r="B65" s="18">
        <f>Calc!D92</f>
        <v>2500</v>
      </c>
      <c r="C65" s="18">
        <f>Calc!D93</f>
        <v>1214.4493729135434</v>
      </c>
      <c r="D65" s="21">
        <f>IFERROR(Calc!D143,"outside 0.5–1.25 × catalog")</f>
        <v>53.13648606462337</v>
      </c>
      <c r="E65" s="27">
        <f>IFERROR(B65/(DWS_QBEP*D65/DWS_Fbase),"")</f>
        <v>0.9417578226190692</v>
      </c>
      <c r="F65" s="0" t="str" cm="1">
        <f t="array" ref="F65">IFERROR(IF(PO.ESP.Curve.InRange(B65,DWS_Qmin*D65/DWS_Fbase,DWS_Qmax*D65/DWS_Fbase),"Within range",IF(B65&lt;DWS_Qmin*D65/DWS_Fbase,"Below minimum","Above maximum")),"")</f>
        <v>Within range</v>
      </c>
      <c r="G65" s="21" cm="1">
        <f ref="G65:G65" t="array">IFERROR(DWS_N*DWS_SG*PO.ESP.Curve.PowerAtSpeed(B65,D65,DWS_Fbase,DWS_CurveQ,DWS_CurveP),"")</f>
        <v>35.25525365914844</v>
      </c>
      <c r="H65" s="27" cm="1">
        <f t="array" ref="H65">IFERROR(PO.ESP.Motor.LoadFactor(G65,DWS_MotorHP*D65/DWS_Fbase),"")</f>
        <v>0.6634848532564199</v>
      </c>
    </row>
    <row r="66">
      <c r="A66" s="0" t="s">
        <v>163</v>
      </c>
      <c r="B66" s="18">
        <f>Calc!E92</f>
        <v>3000</v>
      </c>
      <c r="C66" s="18">
        <f>Calc!E93</f>
        <v>1457.6328150689428</v>
      </c>
      <c r="D66" s="21">
        <f>IFERROR(Calc!E143,"outside 0.5–1.25 × catalog")</f>
        <v>59.49134083372292</v>
      </c>
      <c r="E66" s="27">
        <f>IFERROR(B66/(DWS_QBEP*D66/DWS_Fbase),"")</f>
        <v>1.0093912972857089</v>
      </c>
      <c r="F66" s="0" t="str" cm="1">
        <f t="array" ref="F66">IFERROR(IF(PO.ESP.Curve.InRange(B66,DWS_Qmin*D66/DWS_Fbase,DWS_Qmax*D66/DWS_Fbase),"Within range",IF(B66&lt;DWS_Qmin*D66/DWS_Fbase,"Below minimum","Above maximum")),"")</f>
        <v>Within range</v>
      </c>
      <c r="G66" s="21" cm="1">
        <f ref="G66:G66" t="array">IFERROR(DWS_N*DWS_SG*PO.ESP.Curve.PowerAtSpeed(B66,D66,DWS_Fbase,DWS_CurveQ,DWS_CurveP),"")</f>
        <v>50.62094454003871</v>
      </c>
      <c r="H66" s="27" cm="1">
        <f t="array" ref="H66">IFERROR(PO.ESP.Motor.LoadFactor(G66,DWS_MotorHP*D66/DWS_Fbase),"")</f>
        <v>0.8508960099171946</v>
      </c>
    </row>
    <row r="67">
      <c r="A67" s="0" t="s">
        <v>164</v>
      </c>
      <c r="B67" s="18">
        <f>Calc!F92</f>
        <v>3500</v>
      </c>
      <c r="C67" s="18">
        <f>Calc!F93</f>
        <v>1700.8635129351333</v>
      </c>
      <c r="D67" s="21">
        <f>IFERROR(Calc!F143,"outside 0.5–1.25 × catalog")</f>
        <v>65.61469581696802</v>
      </c>
      <c r="E67" s="27">
        <f>IFERROR(B67/(DWS_QBEP*D67/DWS_Fbase),"")</f>
        <v>1.0677239467880049</v>
      </c>
      <c r="F67" s="0" t="str" cm="1">
        <f t="array" ref="F67">IFERROR(IF(PO.ESP.Curve.InRange(B67,DWS_Qmin*D67/DWS_Fbase,DWS_Qmax*D67/DWS_Fbase),"Within range",IF(B67&lt;DWS_Qmin*D67/DWS_Fbase,"Below minimum","Above maximum")),"")</f>
        <v>Within range</v>
      </c>
      <c r="G67" s="21" cm="1">
        <f ref="G67:G67" t="array">IFERROR(DWS_N*DWS_SG*PO.ESP.Curve.PowerAtSpeed(B67,D67,DWS_Fbase,DWS_CurveQ,DWS_CurveP),"")</f>
        <v>69.2067004452009</v>
      </c>
      <c r="H67" s="27" cm="1">
        <f t="array" ref="H67">IFERROR(PO.ESP.Motor.LoadFactor(G67,DWS_MotorHP*D67/DWS_Fbase),"")</f>
        <v>1.0547439042962685</v>
      </c>
    </row>
    <row r="68">
      <c r="A68" s="0" t="s">
        <v>165</v>
      </c>
      <c r="B68" s="18">
        <f>Calc!G92</f>
        <v>4000</v>
      </c>
      <c r="C68" s="18">
        <f>Calc!G93</f>
        <v>1944.1403814293258</v>
      </c>
      <c r="D68" s="21">
        <f>IFERROR(Calc!G143,"outside 0.5–1.25 × catalog")</f>
        <v>71.56962497275147</v>
      </c>
      <c r="E68" s="27">
        <f>IFERROR(B68/(DWS_QBEP*D68/DWS_Fbase),"")</f>
        <v>1.1187249101702117</v>
      </c>
      <c r="F68" s="0" t="str" cm="1">
        <f t="array" ref="F68">IFERROR(IF(PO.ESP.Curve.InRange(B68,DWS_Qmin*D68/DWS_Fbase,DWS_Qmax*D68/DWS_Fbase),"Within range",IF(B68&lt;DWS_Qmin*D68/DWS_Fbase,"Below minimum","Above maximum")),"")</f>
        <v>Within range</v>
      </c>
      <c r="G68" s="21" cm="1">
        <f ref="G68:G68" t="array">IFERROR(DWS_N*DWS_SG*PO.ESP.Curve.PowerAtSpeed(B68,D68,DWS_Fbase,DWS_CurveQ,DWS_CurveP),"")</f>
        <v>91.2435339167359</v>
      </c>
      <c r="H68" s="27" cm="1">
        <f t="array" ref="H68">IFERROR(PO.ESP.Motor.LoadFactor(G68,DWS_MotorHP*D68/DWS_Fbase),"")</f>
        <v>1.2748918825755315</v>
      </c>
    </row>
  </sheetData>
  <mergeCells>
    <mergeCell ref="A2:H2"/>
    <mergeCell ref="A4:C4"/>
    <mergeCell ref="A13:C13"/>
    <mergeCell ref="A22:H22"/>
    <mergeCell ref="A24:C24"/>
    <mergeCell ref="A33:C33"/>
    <mergeCell ref="A46:C46"/>
    <mergeCell ref="A55:C55"/>
    <mergeCell ref="A59:H59"/>
    <mergeCell ref="A61:H61"/>
  </mergeCells>
  <conditionalFormatting sqref="B11">
    <cfRule type="expression" dxfId="4" priority="1">
      <formula>OR(DWS_SGFlag,DWS_HstFlag)</formula>
    </cfRule>
  </conditionalFormatting>
  <conditionalFormatting sqref="B16">
    <cfRule type="expression" dxfId="5" priority="2">
      <formula>DWS_HstFlag</formula>
    </cfRule>
  </conditionalFormatting>
  <conditionalFormatting sqref="B49">
    <cfRule type="cellIs" dxfId="6" priority="3" operator="greaterThan">
      <formula>1</formula>
    </cfRule>
  </conditionalFormatting>
  <conditionalFormatting sqref="H63:H68">
    <cfRule type="cellIs" dxfId="7" priority="4" operator="greaterThan">
      <formula>1</formula>
    </cfRule>
  </conditionalFormatting>
  <pageSetup orientation="portrait" fitToWidth="1" fitToHeight="1"/>
  <headerFooter/>
</worksheet>
</file>

<file path=xl/worksheets/sheet5.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F6"/>
  <sheetViews>
    <sheetView workbookViewId="0" showGridLines="0"/>
  </sheetViews>
  <sheetFormatPr defaultRowHeight="15"/>
  <cols>
    <col min="1" max="1" width="24" customWidth="1"/>
    <col min="2" max="2" width="12" customWidth="1"/>
    <col min="3" max="3" width="8" customWidth="1"/>
    <col min="4" max="4" width="24" customWidth="1"/>
    <col min="5" max="5" width="12" customWidth="1"/>
    <col min="6" max="6" width="8" customWidth="1"/>
  </cols>
  <sheetData>
    <row r="1">
      <c r="A1" s="24" t="str">
        <f>"Pump performance — "&amp;DWS_PumpModel</f>
        <v>Pump performance — Generic 538-series mixed-flow stage (EXAMPLE)</v>
      </c>
    </row>
    <row r="3">
      <c r="A3" s="0" t="s">
        <v>125</v>
      </c>
      <c r="B3" s="34">
        <f>DWS_N</f>
        <v>37</v>
      </c>
      <c r="D3" s="0" t="s">
        <v>166</v>
      </c>
      <c r="E3" s="37">
        <f>DWS_F</f>
        <v>59.49134083372292</v>
      </c>
      <c r="F3" s="0" t="s">
        <v>60</v>
      </c>
    </row>
    <row r="4">
      <c r="A4" s="0" t="s">
        <v>129</v>
      </c>
      <c r="B4" s="35">
        <f>DWS_Qop</f>
        <v>2999.577284085927</v>
      </c>
      <c r="C4" s="0" t="s">
        <v>28</v>
      </c>
      <c r="D4" s="0" t="s">
        <v>167</v>
      </c>
      <c r="E4" s="35">
        <f>DWS_TDHop</f>
        <v>1457.427199921033</v>
      </c>
      <c r="F4" s="0" t="s">
        <v>48</v>
      </c>
    </row>
    <row r="5">
      <c r="A5" s="0" t="s">
        <v>134</v>
      </c>
      <c r="B5" s="36">
        <f>DWS_EffOp</f>
        <v>0.6780177871817172</v>
      </c>
      <c r="D5" s="0" t="s">
        <v>136</v>
      </c>
      <c r="E5" s="37">
        <f>DWS_BHPop</f>
        <v>50.61857026899056</v>
      </c>
      <c r="F5" s="0" t="s">
        <v>69</v>
      </c>
    </row>
    <row r="6">
      <c r="A6" s="0" t="s">
        <v>168</v>
      </c>
      <c r="B6" s="35">
        <f>DWS_QBEP*DWS_R</f>
        <v>2972.0882358180743</v>
      </c>
      <c r="C6" s="0" t="s">
        <v>28</v>
      </c>
      <c r="D6" s="0" t="s">
        <v>33</v>
      </c>
      <c r="E6" s="38">
        <f>DWS_SG</f>
        <v>1.07</v>
      </c>
    </row>
  </sheetData>
  <pageSetup orientation="portrait" fitToWidth="1" fitToHeight="1"/>
  <headerFooter/>
  <drawing r:id="rId1"/>
</worksheet>
</file>

<file path=xl/worksheets/sheet6.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sheetPr>
    <pageSetUpPr fitToPage="1"/>
  </sheetPr>
  <dimension ref="A1:A2"/>
  <sheetViews>
    <sheetView workbookViewId="0" showGridLines="0"/>
  </sheetViews>
  <sheetFormatPr defaultRowHeight="15"/>
  <cols>
    <col min="1" max="1" width="132" customWidth="1"/>
  </cols>
  <sheetData>
    <row r="1">
      <c r="A1" s="24" t="str">
        <f>"Variable-speed performance — "&amp;TEXT(DWS_N,"0")&amp;" stages, "&amp;DWS_PumpModel</f>
        <v>Variable-speed performance — 37 stages, Generic 538-series mixed-flow stage (EXAMPLE)</v>
      </c>
    </row>
    <row r="2" ht="32" customHeight="1">
      <c r="A2" s="4" t="s">
        <v>169</v>
      </c>
    </row>
  </sheetData>
  <pageSetup orientation="landscape" fitToWidth="1" fitToHeight="1"/>
  <headerFooter/>
  <drawing r:id="rId1"/>
</worksheet>
</file>

<file path=xl/worksheets/sheet7.xml><?xml version="1.0" encoding="utf-8"?>
<worksheet xmlns:r="http://schemas.openxmlformats.org/officeDocument/2006/relationships" xmlns="http://schemas.openxmlformats.org/spreadsheetml/2006/main" xmlns:mc="http://schemas.openxmlformats.org/markup-compatibility/2006" xmlns:xr="http://schemas.microsoft.com/office/spreadsheetml/2014/revision" mc:Ignorable="xr ">
  <dimension ref="A1:O193"/>
  <sheetViews>
    <sheetView workbookViewId="0"/>
  </sheetViews>
  <sheetFormatPr defaultRowHeight="15"/>
  <cols>
    <col min="1" max="1" width="46" customWidth="1"/>
    <col min="2" max="2" width="13" customWidth="1"/>
    <col min="3" max="3" width="13" customWidth="1"/>
    <col min="4" max="4" width="13" customWidth="1"/>
    <col min="5" max="5" width="13" customWidth="1"/>
    <col min="6" max="6" width="13" customWidth="1"/>
    <col min="7" max="7" width="13" customWidth="1"/>
    <col min="8" max="8" width="11" customWidth="1"/>
    <col min="9" max="9" width="11" customWidth="1"/>
    <col min="10" max="10" width="11" customWidth="1"/>
    <col min="11" max="11" width="11" customWidth="1"/>
    <col min="12" max="12" width="11" customWidth="1"/>
    <col min="13" max="13" width="11" customWidth="1"/>
    <col min="14" max="14" width="11" customWidth="1"/>
    <col min="15" max="15" width="11" customWidth="1"/>
  </cols>
  <sheetData>
    <row r="1">
      <c r="A1" s="1" t="s">
        <v>170</v>
      </c>
    </row>
    <row r="2" ht="45" customHeight="1">
      <c r="A2" s="6" t="s">
        <v>171</v>
      </c>
      <c r="B2" s="6"/>
      <c r="C2" s="6"/>
      <c r="D2" s="6"/>
      <c r="E2" s="6"/>
      <c r="F2" s="6"/>
      <c r="G2" s="6"/>
    </row>
    <row r="4">
      <c r="A4" s="7" t="s">
        <v>172</v>
      </c>
      <c r="B4" s="7"/>
      <c r="C4" s="7"/>
    </row>
    <row r="5">
      <c r="A5" s="0" t="s">
        <v>106</v>
      </c>
      <c r="B5" s="0">
        <f>IF(DWS_Sink&gt;0,DWS_PI*DWS_Sink,DWS_Q)</f>
        <v>3000</v>
      </c>
      <c r="C5" s="0" t="s">
        <v>28</v>
      </c>
    </row>
    <row r="6">
      <c r="A6" s="0" t="s">
        <v>173</v>
      </c>
      <c r="B6" s="0" cm="1">
        <f t="array" ref="B6">PO.ESP.Head.ToPressure(1,DWS_SG)</f>
        <v>0.46320346320346323</v>
      </c>
      <c r="C6" s="0" t="s">
        <v>36</v>
      </c>
    </row>
    <row r="7">
      <c r="A7" s="0" t="s">
        <v>174</v>
      </c>
      <c r="B7" s="0" cm="1">
        <f t="array" ref="B7">IF(DWS_Pinj&gt;0,DWS_Pinj,DWS_Pdr+PO.ESP.Head.ToPressure(DWS_dZ,DWS_SG))</f>
        <v>3246</v>
      </c>
      <c r="C7" s="0" t="s">
        <v>31</v>
      </c>
    </row>
    <row r="8">
      <c r="A8" s="0" t="s">
        <v>175</v>
      </c>
      <c r="B8" s="0" cm="1">
        <f ref="B8:B8" t="array">PO.ESP.DWS.TDH(0,DWS_Pdr,DWS_PI,DWS_PinjSt,DWS_II,DWS_dZ,DWS_SG,0)</f>
        <v>-0.6915887850467328</v>
      </c>
      <c r="C8" s="0" t="s">
        <v>48</v>
      </c>
    </row>
    <row r="9">
      <c r="A9" s="0" t="s">
        <v>176</v>
      </c>
      <c r="B9" s="0" cm="1">
        <f t="array" ref="B9">PO.ESP.Head.FromPressure(PO.ESP.Nodal.Drawdown(DWS_Qd,DWS_PI),DWS_SG)</f>
        <v>647.6635514018691</v>
      </c>
      <c r="C9" s="0" t="s">
        <v>48</v>
      </c>
    </row>
    <row r="10">
      <c r="A10" s="0" t="s">
        <v>177</v>
      </c>
      <c r="B10" s="0" cm="1">
        <f t="array" ref="B10">PO.ESP.Head.FromPressure(PO.ESP.Nodal.Drawdown(DWS_Qd,DWS_II),DWS_SG)</f>
        <v>809.5794392523364</v>
      </c>
      <c r="C10" s="0" t="s">
        <v>48</v>
      </c>
    </row>
    <row r="11">
      <c r="A11" s="0" t="s">
        <v>178</v>
      </c>
      <c r="B11" s="0" cm="1">
        <f t="array" ref="B11">PO.ESP.System.Hfric(DWS_Qd,DWS_FlowID,DWS_FlowL,DWS_SG)</f>
        <v>1.081413199783986</v>
      </c>
      <c r="C11" s="0" t="s">
        <v>48</v>
      </c>
    </row>
    <row r="12">
      <c r="A12" s="0" t="s">
        <v>179</v>
      </c>
      <c r="B12" s="0" cm="1">
        <f ref="B12:B12" t="array">PO.ESP.DWS.TDH(DWS_Qd,DWS_Pdr,DWS_PI,DWS_PinjSt,DWS_II,DWS_dZ,DWS_SG,DWS_HfT)</f>
        <v>1457.6328150689428</v>
      </c>
      <c r="C12" s="0" t="s">
        <v>48</v>
      </c>
    </row>
    <row r="13">
      <c r="A13" s="0" t="s">
        <v>180</v>
      </c>
      <c r="B13" s="0">
        <f>IF(DWS_TDHKnown&gt;0,DWS_TDHKnown,DWS_TDHLoop)</f>
        <v>1457.6328150689428</v>
      </c>
      <c r="C13" s="0" t="s">
        <v>48</v>
      </c>
    </row>
    <row r="14">
      <c r="A14" s="0" t="s">
        <v>181</v>
      </c>
      <c r="B14" s="0">
        <f>(DWS_TDH-DWS_Hst-DWS_HfT)/DWS_Qd</f>
        <v>0.4857476635514018</v>
      </c>
      <c r="C14" s="0" t="s">
        <v>182</v>
      </c>
    </row>
    <row r="15">
      <c r="A15" s="0" t="s">
        <v>183</v>
      </c>
      <c r="B15" s="0" cm="1">
        <f t="array" ref="B15">PO.ESP.Curve.Head(DWS_Qd,DWS_CurveQ,DWS_CurveH)</f>
        <v>40.3</v>
      </c>
      <c r="C15" s="0" t="s">
        <v>100</v>
      </c>
    </row>
    <row r="16">
      <c r="A16" s="0" t="s">
        <v>124</v>
      </c>
      <c r="B16" s="0" cm="1">
        <f t="array" ref="B16">PO.ESP.Stages.Actual(DWS_TDH,DWS_HStgT)</f>
        <v>36.16954876101595</v>
      </c>
      <c r="C16" s="0" t="s">
        <v>65</v>
      </c>
    </row>
    <row r="17">
      <c r="A17" s="0" t="s">
        <v>125</v>
      </c>
      <c r="B17" s="0" cm="1">
        <f t="array" ref="B17">IF(DWS_StagesSet&gt;0,ROUND(DWS_StagesSet,0),PO.ESP.Stages(DWS_TDH,DWS_HStgT))</f>
        <v>37</v>
      </c>
      <c r="C17" s="0" t="s">
        <v>65</v>
      </c>
    </row>
    <row r="18">
      <c r="A18" s="0" t="s">
        <v>184</v>
      </c>
      <c r="B18" s="0">
        <f>B143</f>
        <v>59.49134083372292</v>
      </c>
      <c r="C18" s="0" t="s">
        <v>60</v>
      </c>
    </row>
    <row r="19">
      <c r="A19" s="0" t="s">
        <v>166</v>
      </c>
      <c r="B19" s="0">
        <f>IF(DWS_FreqSet&gt;0,DWS_FreqSet,DWS_FTarget)</f>
        <v>59.49134083372292</v>
      </c>
      <c r="C19" s="0" t="s">
        <v>60</v>
      </c>
    </row>
    <row r="20">
      <c r="A20" s="0" t="s">
        <v>185</v>
      </c>
      <c r="B20" s="0">
        <f>DWS_F/DWS_Fbase</f>
        <v>0.9915223472287154</v>
      </c>
      <c r="C20" s="0" t="s">
        <v>34</v>
      </c>
    </row>
    <row r="21">
      <c r="A21" s="0" t="s">
        <v>186</v>
      </c>
      <c r="B21" s="0">
        <f>MAX(DWS_CurveQ)*MAX(DWS_F,MAX(DWS_VsdF))/DWS_Fbase</f>
        <v>6416.666666666667</v>
      </c>
      <c r="C21" s="0" t="s">
        <v>28</v>
      </c>
    </row>
    <row r="22">
      <c r="A22" s="0" t="s">
        <v>187</v>
      </c>
      <c r="B22" s="0">
        <f>IF(OR($B$88&lt;1,$B$88&gt;50),NA(),INDEX($A$36:$A$86,$B$88)+INDEX($E$36:$E$86,$B$88)/(INDEX($E$36:$E$86,$B$88)-INDEX($E$36:$E$86,$B$88+1))*(INDEX($A$36:$A$86,$B$88+1)-INDEX($A$36:$A$86,$B$88)))</f>
        <v>2999.577284085927</v>
      </c>
      <c r="C22" s="0" t="s">
        <v>28</v>
      </c>
    </row>
    <row r="23">
      <c r="A23" s="0" t="s">
        <v>130</v>
      </c>
      <c r="B23" s="0" cm="1">
        <f t="array" ref="B23">DWS_Hst+DWS_Kq*DWS_Qop+PO.ESP.System.Hfric(DWS_Qop,DWS_FlowID,DWS_FlowL,DWS_SG)</f>
        <v>1457.427199921033</v>
      </c>
      <c r="C23" s="0" t="s">
        <v>48</v>
      </c>
    </row>
    <row r="24">
      <c r="A24" s="0" t="s">
        <v>188</v>
      </c>
      <c r="B24" s="0" cm="1">
        <f ref="B24:B24" t="array">DWS_N*DWS_SG*PO.ESP.Curve.PowerAtSpeed(DWS_Qop,DWS_F,DWS_Fbase,DWS_CurveQ,DWS_CurveP)</f>
        <v>50.61857026899056</v>
      </c>
      <c r="C24" s="0" t="s">
        <v>69</v>
      </c>
    </row>
    <row r="25">
      <c r="A25" s="0" t="s">
        <v>189</v>
      </c>
      <c r="B25" s="0" cm="1">
        <f t="array" ref="B25">PO.ESP.Curve.Efficiency(DWS_Qop/DWS_R,DWS_CurveQ,DWS_CurveEff)</f>
        <v>0.6780177871817172</v>
      </c>
      <c r="C25" s="0" t="s">
        <v>190</v>
      </c>
    </row>
    <row r="26">
      <c r="A26" s="0" t="s">
        <v>191</v>
      </c>
      <c r="B26" s="0">
        <f>(1/DWS_PI)/(1/DWS_PI+1/DWS_II)</f>
        <v>0.4444444444444445</v>
      </c>
      <c r="C26" s="0" t="s">
        <v>190</v>
      </c>
    </row>
    <row r="27">
      <c r="A27" s="0" t="s">
        <v>138</v>
      </c>
      <c r="B27" s="0" cm="1">
        <f t="array" ref="B27">PO.ESP.Nodal.Drawdown(DWS_Qop,DWS_PI)</f>
        <v>299.95772840859274</v>
      </c>
      <c r="C27" s="0" t="s">
        <v>31</v>
      </c>
    </row>
    <row r="28">
      <c r="A28" s="0" t="s">
        <v>192</v>
      </c>
      <c r="B28" s="0" t="b">
        <f>OR(DWS_SG&lt;0.9,DWS_SG&gt;1.3)</f>
        <v>0</v>
      </c>
      <c r="C28" s="0" t="s">
        <v>193</v>
      </c>
    </row>
    <row r="29">
      <c r="A29" s="0" t="s">
        <v>194</v>
      </c>
      <c r="B29" s="0" t="b">
        <f>ABS(DWS_Hst)&gt;5</f>
        <v>0</v>
      </c>
      <c r="C29" s="0" t="s">
        <v>193</v>
      </c>
    </row>
    <row r="34">
      <c r="A34" s="7" t="s">
        <v>195</v>
      </c>
      <c r="B34" s="7"/>
      <c r="C34" s="7"/>
      <c r="D34" s="7"/>
      <c r="E34" s="7"/>
    </row>
    <row r="35">
      <c r="A35" s="1" t="s">
        <v>92</v>
      </c>
      <c r="B35" s="1" t="s">
        <v>196</v>
      </c>
      <c r="C35" s="1" t="s">
        <v>197</v>
      </c>
      <c r="D35" s="1" t="s">
        <v>198</v>
      </c>
      <c r="E35" s="1" t="s">
        <v>199</v>
      </c>
    </row>
    <row r="36">
      <c r="A36" s="0">
        <f>DWS_GridTop*0/50</f>
        <v>0</v>
      </c>
      <c r="B36" s="0" cm="1">
        <f t="array" ref="B36">PO.ESP.System.Hfric(A36,DWS_FlowID,DWS_FlowL,DWS_SG)</f>
        <v>0</v>
      </c>
      <c r="C36" s="0">
        <f>DWS_Hst+DWS_Kq*A36+B36</f>
        <v>-0.6915887850467328</v>
      </c>
      <c r="D36" s="0" cm="1">
        <f ref="D36:D36" t="array">DWS_N*PO.ESP.Curve.HeadAtSpeed(A36,DWS_F,DWS_Fbase,DWS_CurveQ,DWS_CurveH)</f>
        <v>1891.516271163783</v>
      </c>
      <c r="E36" s="0">
        <f>D36-C36</f>
        <v>1892.2078599488295</v>
      </c>
    </row>
    <row r="37">
      <c r="A37" s="0">
        <f>DWS_GridTop*1/50</f>
        <v>128.33333333333334</v>
      </c>
      <c r="B37" s="0" cm="1">
        <f t="array" ref="B37">PO.ESP.System.Hfric(A37,DWS_FlowID,DWS_FlowL,DWS_SG)</f>
        <v>0.0031750120173074255</v>
      </c>
      <c r="C37" s="0">
        <f>DWS_Hst+DWS_Kq*A37+B37</f>
        <v>61.64920304940048</v>
      </c>
      <c r="D37" s="0" cm="1">
        <f ref="D37:D37" t="array">DWS_N*PO.ESP.Curve.HeadAtSpeed(A37,DWS_F,DWS_Fbase,DWS_CurveQ,DWS_CurveH)</f>
        <v>1895.1383296436675</v>
      </c>
      <c r="E37" s="0">
        <f>D37-C37</f>
        <v>1833.489126594267</v>
      </c>
    </row>
    <row r="38">
      <c r="A38" s="0">
        <f>DWS_GridTop*2/50</f>
        <v>256.6666666666667</v>
      </c>
      <c r="B38" s="0" cm="1">
        <f t="array" ref="B38">PO.ESP.System.Hfric(A38,DWS_FlowID,DWS_FlowL,DWS_SG)</f>
        <v>0.01144592419757305</v>
      </c>
      <c r="C38" s="0">
        <f>DWS_Hst+DWS_Kq*A38+B38</f>
        <v>123.99509078401064</v>
      </c>
      <c r="D38" s="0" cm="1">
        <f ref="D38:D38" t="array">DWS_N*PO.ESP.Curve.HeadAtSpeed(A38,DWS_F,DWS_Fbase,DWS_CurveQ,DWS_CurveH)</f>
        <v>1898.011073576907</v>
      </c>
      <c r="E38" s="0">
        <f>D38-C38</f>
        <v>1774.0159827928962</v>
      </c>
    </row>
    <row r="39">
      <c r="A39" s="0">
        <f>DWS_GridTop*3/50</f>
        <v>385</v>
      </c>
      <c r="B39" s="0" cm="1">
        <f t="array" ref="B39">PO.ESP.System.Hfric(A39,DWS_FlowID,DWS_FlowL,DWS_SG)</f>
        <v>0.02423369818056568</v>
      </c>
      <c r="C39" s="0">
        <f>DWS_Hst+DWS_Kq*A39+B39</f>
        <v>186.3454953804235</v>
      </c>
      <c r="D39" s="0" cm="1">
        <f ref="D39:D39" t="array">DWS_N*PO.ESP.Curve.HeadAtSpeed(A39,DWS_F,DWS_Fbase,DWS_CurveQ,DWS_CurveH)</f>
        <v>1899.3851884168555</v>
      </c>
      <c r="E39" s="0">
        <f>D39-C39</f>
        <v>1713.039693036432</v>
      </c>
    </row>
    <row r="40">
      <c r="A40" s="0">
        <f>DWS_GridTop*4/50</f>
        <v>513.3333333333334</v>
      </c>
      <c r="B40" s="0" cm="1">
        <f t="array" ref="B40">PO.ESP.System.Hfric(A40,DWS_FlowID,DWS_FlowL,DWS_SG)</f>
        <v>0.04126257791228483</v>
      </c>
      <c r="C40" s="0">
        <f>DWS_Hst+DWS_Kq*A40+B40</f>
        <v>248.70014108258516</v>
      </c>
      <c r="D40" s="0" cm="1">
        <f ref="D40:D40" t="array">DWS_N*PO.ESP.Curve.HeadAtSpeed(A40,DWS_F,DWS_Fbase,DWS_CurveQ,DWS_CurveH)</f>
        <v>1898.511825414341</v>
      </c>
      <c r="E40" s="0">
        <f>D40-C40</f>
        <v>1649.811684331756</v>
      </c>
    </row>
    <row r="41">
      <c r="A41" s="0">
        <f>DWS_GridTop*5/50</f>
        <v>641.6666666666667</v>
      </c>
      <c r="B41" s="0" cm="1">
        <f t="array" ref="B41">PO.ESP.System.Hfric(A41,DWS_FlowID,DWS_FlowL,DWS_SG)</f>
        <v>0.06235049151903646</v>
      </c>
      <c r="C41" s="0">
        <f>DWS_Hst+DWS_Kq*A41+B41</f>
        <v>311.0588458186218</v>
      </c>
      <c r="D41" s="0" cm="1">
        <f ref="D41:D41" t="array">DWS_N*PO.ESP.Curve.HeadAtSpeed(A41,DWS_F,DWS_Fbase,DWS_CurveQ,DWS_CurveH)</f>
        <v>1894.9069195860975</v>
      </c>
      <c r="E41" s="0">
        <f>D41-C41</f>
        <v>1583.8480737674756</v>
      </c>
    </row>
    <row r="42">
      <c r="A42" s="0">
        <f>DWS_GridTop*6/50</f>
        <v>770</v>
      </c>
      <c r="B42" s="0" cm="1">
        <f t="array" ref="B42">PO.ESP.System.Hfric(A42,DWS_FlowID,DWS_FlowL,DWS_SG)</f>
        <v>0.0873625267840242</v>
      </c>
      <c r="C42" s="0">
        <f>DWS_Hst+DWS_Kq*A42+B42</f>
        <v>373.4214746763167</v>
      </c>
      <c r="D42" s="0" cm="1">
        <f ref="D42:D42" t="array">DWS_N*PO.ESP.Curve.HeadAtSpeed(A42,DWS_F,DWS_Fbase,DWS_CurveQ,DWS_CurveH)</f>
        <v>1888.7931642625754</v>
      </c>
      <c r="E42" s="0">
        <f>D42-C42</f>
        <v>1515.3716895862588</v>
      </c>
    </row>
    <row r="43">
      <c r="A43" s="0">
        <f>DWS_GridTop*7/50</f>
        <v>898.3333333333335</v>
      </c>
      <c r="B43" s="0" cm="1">
        <f t="array" ref="B43">PO.ESP.System.Hfric(A43,DWS_FlowID,DWS_FlowL,DWS_SG)</f>
        <v>0.11619213917911514</v>
      </c>
      <c r="C43" s="0">
        <f>DWS_Hst+DWS_Kq*A43+B43</f>
        <v>435.78792111114177</v>
      </c>
      <c r="D43" s="0" cm="1">
        <f ref="D43:D43" t="array">DWS_N*PO.ESP.Curve.HeadAtSpeed(A43,DWS_F,DWS_Fbase,DWS_CurveQ,DWS_CurveH)</f>
        <v>1880.5099026683154</v>
      </c>
      <c r="E43" s="0">
        <f>D43-C43</f>
        <v>1444.7219815571736</v>
      </c>
    </row>
    <row r="44">
      <c r="A44" s="0">
        <f>DWS_GridTop*8/50</f>
        <v>1026.6666666666667</v>
      </c>
      <c r="B44" s="0" cm="1">
        <f t="array" ref="B44">PO.ESP.System.Hfric(A44,DWS_FlowID,DWS_FlowL,DWS_SG)</f>
        <v>0.14875166972784856</v>
      </c>
      <c r="C44" s="0">
        <f>DWS_Hst+DWS_Kq*A44+B44</f>
        <v>498.1580974641203</v>
      </c>
      <c r="D44" s="0" cm="1">
        <f ref="D44:D44" t="array">DWS_N*PO.ESP.Curve.HeadAtSpeed(A44,DWS_F,DWS_Fbase,DWS_CurveQ,DWS_CurveH)</f>
        <v>1870.3945310052557</v>
      </c>
      <c r="E44" s="0">
        <f>D44-C44</f>
        <v>1372.2364335411353</v>
      </c>
    </row>
    <row r="45">
      <c r="A45" s="0">
        <f>DWS_GridTop*9/50</f>
        <v>1155</v>
      </c>
      <c r="B45" s="0" cm="1">
        <f t="array" ref="B45">PO.ESP.System.Hfric(A45,DWS_FlowID,DWS_FlowL,DWS_SG)</f>
        <v>0.18496689911894865</v>
      </c>
      <c r="C45" s="0">
        <f>DWS_Hst+DWS_Kq*A45+B45</f>
        <v>560.5319295159413</v>
      </c>
      <c r="D45" s="0" cm="1">
        <f ref="D45:D45" t="array">DWS_N*PO.ESP.Curve.HeadAtSpeed(A45,DWS_F,DWS_Fbase,DWS_CurveQ,DWS_CurveH)</f>
        <v>1858.5962675512055</v>
      </c>
      <c r="E45" s="0">
        <f>D45-C45</f>
        <v>1298.0643380352642</v>
      </c>
    </row>
    <row r="46">
      <c r="A46" s="0">
        <f>DWS_GridTop*10/50</f>
        <v>1283.3333333333335</v>
      </c>
      <c r="B46" s="0" cm="1">
        <f t="array" ref="B46">PO.ESP.System.Hfric(A46,DWS_FlowID,DWS_FlowL,DWS_SG)</f>
        <v>0.224773637302177</v>
      </c>
      <c r="C46" s="0">
        <f>DWS_Hst+DWS_Kq*A46+B46</f>
        <v>622.9093530765545</v>
      </c>
      <c r="D46" s="0" cm="1">
        <f ref="D46:D46" t="array">DWS_N*PO.ESP.Curve.HeadAtSpeed(A46,DWS_F,DWS_Fbase,DWS_CurveQ,DWS_CurveH)</f>
        <v>1844.9219344347255</v>
      </c>
      <c r="E46" s="0">
        <f>D46-C46</f>
        <v>1222.012581358171</v>
      </c>
    </row>
    <row r="47">
      <c r="A47" s="0">
        <f>DWS_GridTop*11/50</f>
        <v>1411.666666666667</v>
      </c>
      <c r="B47" s="0" cm="1">
        <f t="array" ref="B47">PO.ESP.System.Hfric(A47,DWS_FlowID,DWS_FlowL,DWS_SG)</f>
        <v>0.26811545017718597</v>
      </c>
      <c r="C47" s="0">
        <f>DWS_Hst+DWS_Kq*A47+B47</f>
        <v>685.2903117118595</v>
      </c>
      <c r="D47" s="0" cm="1">
        <f ref="D47:D47" t="array">DWS_N*PO.ESP.Curve.HeadAtSpeed(A47,DWS_F,DWS_Fbase,DWS_CurveQ,DWS_CurveH)</f>
        <v>1829.1420543608206</v>
      </c>
      <c r="E47" s="0">
        <f>D47-C47</f>
        <v>1143.8517426489611</v>
      </c>
    </row>
    <row r="48">
      <c r="A48" s="0">
        <f>DWS_GridTop*12/50</f>
        <v>1540</v>
      </c>
      <c r="B48" s="0" cm="1">
        <f t="array" ref="B48">PO.ESP.System.Hfric(A48,DWS_FlowID,DWS_FlowL,DWS_SG)</f>
        <v>0.3149420707158115</v>
      </c>
      <c r="C48" s="0">
        <f>DWS_Hst+DWS_Kq*A48+B48</f>
        <v>747.6747551548278</v>
      </c>
      <c r="D48" s="0" cm="1">
        <f ref="D48:D48" t="array">DWS_N*PO.ESP.Curve.HeadAtSpeed(A48,DWS_F,DWS_Fbase,DWS_CurveQ,DWS_CurveH)</f>
        <v>1811.0321113226744</v>
      </c>
      <c r="E48" s="0">
        <f>D48-C48</f>
        <v>1063.3573561678465</v>
      </c>
    </row>
    <row r="49">
      <c r="A49" s="0">
        <f>DWS_GridTop*13/50</f>
        <v>1668.3333333333335</v>
      </c>
      <c r="B49" s="0" cm="1">
        <f t="array" ref="B49">PO.ESP.System.Hfric(A49,DWS_FlowID,DWS_FlowL,DWS_SG)</f>
        <v>0.3652082462723016</v>
      </c>
      <c r="C49" s="0">
        <f>DWS_Hst+DWS_Kq*A49+B49</f>
        <v>810.0626381528143</v>
      </c>
      <c r="D49" s="0" cm="1">
        <f ref="D49:D49" t="array">DWS_N*PO.ESP.Curve.HeadAtSpeed(A49,DWS_F,DWS_Fbase,DWS_CurveQ,DWS_CurveH)</f>
        <v>1790.548722615016</v>
      </c>
      <c r="E49" s="0">
        <f>D49-C49</f>
        <v>980.4860844622017</v>
      </c>
    </row>
    <row r="50">
      <c r="A50" s="0">
        <f>DWS_GridTop*14/50</f>
        <v>1796.666666666667</v>
      </c>
      <c r="B50" s="0" cm="1">
        <f t="array" ref="B50">PO.ESP.System.Hfric(A50,DWS_FlowID,DWS_FlowL,DWS_SG)</f>
        <v>0.4188728767476781</v>
      </c>
      <c r="C50" s="0">
        <f>DWS_Hst+DWS_Kq*A50+B50</f>
        <v>872.4539196057196</v>
      </c>
      <c r="D50" s="0" cm="1">
        <f ref="D50:D50" t="array">DWS_N*PO.ESP.Curve.HeadAtSpeed(A50,DWS_F,DWS_Fbase,DWS_CurveQ,DWS_CurveH)</f>
        <v>1767.8772307767385</v>
      </c>
      <c r="E50" s="0">
        <f>D50-C50</f>
        <v>895.4233111710189</v>
      </c>
    </row>
    <row r="51">
      <c r="A51" s="0">
        <f>DWS_GridTop*15/50</f>
        <v>1925</v>
      </c>
      <c r="B51" s="0" cm="1">
        <f t="array" ref="B51">PO.ESP.System.Hfric(A51,DWS_FlowID,DWS_FlowL,DWS_SG)</f>
        <v>0.47589835397336266</v>
      </c>
      <c r="C51" s="0">
        <f>DWS_Hst+DWS_Kq*A51+B51</f>
        <v>934.848561905375</v>
      </c>
      <c r="D51" s="0" cm="1">
        <f ref="D51:D51" t="array">DWS_N*PO.ESP.Curve.HeadAtSpeed(A51,DWS_F,DWS_Fbase,DWS_CurveQ,DWS_CurveH)</f>
        <v>1743.2176207067616</v>
      </c>
      <c r="E51" s="0">
        <f>D51-C51</f>
        <v>808.3690588013866</v>
      </c>
    </row>
    <row r="52">
      <c r="A52" s="0">
        <f>DWS_GridTop*16/50</f>
        <v>2053.3333333333335</v>
      </c>
      <c r="B52" s="0" cm="1">
        <f t="array" ref="B52">PO.ESP.System.Hfric(A52,DWS_FlowID,DWS_FlowL,DWS_SG)</f>
        <v>0.5362500446254277</v>
      </c>
      <c r="C52" s="0">
        <f>DWS_Hst+DWS_Kq*A52+B52</f>
        <v>997.246530418457</v>
      </c>
      <c r="D52" s="0" cm="1">
        <f ref="D52:D52" t="array">DWS_N*PO.ESP.Curve.HeadAtSpeed(A52,DWS_F,DWS_Fbase,DWS_CurveQ,DWS_CurveH)</f>
        <v>1716.7591467173058</v>
      </c>
      <c r="E52" s="0">
        <f>D52-C52</f>
        <v>719.5126162988488</v>
      </c>
    </row>
    <row r="53">
      <c r="A53" s="0">
        <f>DWS_GridTop*17/50</f>
        <v>2181.666666666667</v>
      </c>
      <c r="B53" s="0" cm="1">
        <f t="array" ref="B53">PO.ESP.System.Hfric(A53,DWS_FlowID,DWS_FlowL,DWS_SG)</f>
        <v>0.599895878197941</v>
      </c>
      <c r="C53" s="0">
        <f>DWS_Hst+DWS_Kq*A53+B53</f>
        <v>1059.6477930744597</v>
      </c>
      <c r="D53" s="0" cm="1">
        <f ref="D53:D53" t="array">DWS_N*PO.ESP.Curve.HeadAtSpeed(A53,DWS_F,DWS_Fbase,DWS_CurveQ,DWS_CurveH)</f>
        <v>1688.4918547229288</v>
      </c>
      <c r="E53" s="0">
        <f>D53-C53</f>
        <v>628.844061648469</v>
      </c>
    </row>
    <row r="54">
      <c r="A54" s="0">
        <f>DWS_GridTop*18/50</f>
        <v>2310</v>
      </c>
      <c r="B54" s="0" cm="1">
        <f t="array" ref="B54">PO.ESP.System.Hfric(A54,DWS_FlowID,DWS_FlowL,DWS_SG)</f>
        <v>0.666806013594573</v>
      </c>
      <c r="C54" s="0">
        <f>DWS_Hst+DWS_Kq*A54+B54</f>
        <v>1122.0523200322862</v>
      </c>
      <c r="D54" s="0" cm="1">
        <f ref="D54:D54" t="array">DWS_N*PO.ESP.Curve.HeadAtSpeed(A54,DWS_F,DWS_Fbase,DWS_CurveQ,DWS_CurveH)</f>
        <v>1658.2299065220718</v>
      </c>
      <c r="E54" s="0">
        <f>D54-C54</f>
        <v>536.1775864897857</v>
      </c>
    </row>
    <row r="55">
      <c r="A55" s="0">
        <f>DWS_GridTop*19/50</f>
        <v>2438.3333333333335</v>
      </c>
      <c r="B55" s="0" cm="1">
        <f t="array" ref="B55">PO.ESP.System.Hfric(A55,DWS_FlowID,DWS_FlowL,DWS_SG)</f>
        <v>0.7369525656895216</v>
      </c>
      <c r="C55" s="0">
        <f>DWS_Hst+DWS_Kq*A55+B55</f>
        <v>1184.460083406811</v>
      </c>
      <c r="D55" s="0" cm="1">
        <f ref="D55:D55" t="array">DWS_N*PO.ESP.Curve.HeadAtSpeed(A55,DWS_F,DWS_Fbase,DWS_CurveQ,DWS_CurveH)</f>
        <v>1625.7814208705738</v>
      </c>
      <c r="E55" s="0">
        <f>D55-C55</f>
        <v>441.3213374637628</v>
      </c>
    </row>
    <row r="56">
      <c r="A56" s="0">
        <f>DWS_GridTop*20/50</f>
        <v>2566.666666666667</v>
      </c>
      <c r="B56" s="0" cm="1">
        <f t="array" ref="B56">PO.ESP.System.Hfric(A56,DWS_FlowID,DWS_FlowL,DWS_SG)</f>
        <v>0.8103093784052241</v>
      </c>
      <c r="C56" s="0">
        <f>DWS_Hst+DWS_Kq*A56+B56</f>
        <v>1246.8710570419566</v>
      </c>
      <c r="D56" s="0" cm="1">
        <f ref="D56:D56" t="array">DWS_N*PO.ESP.Curve.HeadAtSpeed(A56,DWS_F,DWS_Fbase,DWS_CurveQ,DWS_CurveH)</f>
        <v>1590.9748850043936</v>
      </c>
      <c r="E56" s="0">
        <f>D56-C56</f>
        <v>344.103827962437</v>
      </c>
    </row>
    <row r="57">
      <c r="A57" s="0">
        <f>DWS_GridTop*21/50</f>
        <v>2695</v>
      </c>
      <c r="B57" s="0" cm="1">
        <f t="array" ref="B57">PO.ESP.System.Hfric(A57,DWS_FlowID,DWS_FlowL,DWS_SG)</f>
        <v>0.8868518344093925</v>
      </c>
      <c r="C57" s="0">
        <f>DWS_Hst+DWS_Kq*A57+B57</f>
        <v>1309.2852163203906</v>
      </c>
      <c r="D57" s="0" cm="1">
        <f ref="D57:D57" t="array">DWS_N*PO.ESP.Curve.HeadAtSpeed(A57,DWS_F,DWS_Fbase,DWS_CurveQ,DWS_CurveH)</f>
        <v>1553.8607746402768</v>
      </c>
      <c r="E57" s="0">
        <f>D57-C57</f>
        <v>244.5755583198861</v>
      </c>
    </row>
    <row r="58">
      <c r="A58" s="0">
        <f>DWS_GridTop*22/50</f>
        <v>2823.333333333334</v>
      </c>
      <c r="B58" s="0" cm="1">
        <f t="array" ref="B58">PO.ESP.System.Hfric(A58,DWS_FlowID,DWS_FlowL,DWS_SG)</f>
        <v>0.9665566940211997</v>
      </c>
      <c r="C58" s="0">
        <f>DWS_Hst+DWS_Kq*A58+B58</f>
        <v>1371.7025380024327</v>
      </c>
      <c r="D58" s="0" cm="1">
        <f ref="D58:D58" t="array">DWS_N*PO.ESP.Curve.HeadAtSpeed(A58,DWS_F,DWS_Fbase,DWS_CurveQ,DWS_CurveH)</f>
        <v>1514.6260578767296</v>
      </c>
      <c r="E58" s="0">
        <f>D58-C58</f>
        <v>142.92351987429697</v>
      </c>
    </row>
    <row r="59">
      <c r="A59" s="0">
        <f>DWS_GridTop*23/50</f>
        <v>2951.666666666667</v>
      </c>
      <c r="B59" s="0" cm="1">
        <f t="array" ref="B59">PO.ESP.System.Hfric(A59,DWS_FlowID,DWS_FlowL,DWS_SG)</f>
        <v>1.0494019576916573</v>
      </c>
      <c r="C59" s="0">
        <f>DWS_Hst+DWS_Kq*A59+B59</f>
        <v>1434.123000088533</v>
      </c>
      <c r="D59" s="0" cm="1">
        <f ref="D59:D59" t="array">DWS_N*PO.ESP.Curve.HeadAtSpeed(A59,DWS_F,DWS_Fbase,DWS_CurveQ,DWS_CurveH)</f>
        <v>1473.4596937349595</v>
      </c>
      <c r="E59" s="0">
        <f>D59-C59</f>
        <v>39.33669364642651</v>
      </c>
    </row>
    <row r="60">
      <c r="A60" s="0">
        <f>DWS_GridTop*24/50</f>
        <v>3080</v>
      </c>
      <c r="B60" s="0" cm="1">
        <f t="array" ref="B60">PO.ESP.System.Hfric(A60,DWS_FlowID,DWS_FlowL,DWS_SG)</f>
        <v>1.1353667477129517</v>
      </c>
      <c r="C60" s="0">
        <f>DWS_Hst+DWS_Kq*A60+B60</f>
        <v>1496.5465817009838</v>
      </c>
      <c r="D60" s="0" cm="1">
        <f ref="D60:D60" t="array">DWS_N*PO.ESP.Curve.HeadAtSpeed(A60,DWS_F,DWS_Fbase,DWS_CurveQ,DWS_CurveH)</f>
        <v>1430.516045913029</v>
      </c>
      <c r="E60" s="0">
        <f>D60-C60</f>
        <v>-66.0305357879547</v>
      </c>
    </row>
    <row r="61">
      <c r="A61" s="0">
        <f>DWS_GridTop*25/50</f>
        <v>3208.333333333334</v>
      </c>
      <c r="B61" s="0" cm="1">
        <f t="array" ref="B61">PO.ESP.System.Hfric(A61,DWS_FlowID,DWS_FlowL,DWS_SG)</f>
        <v>1.224431205763533</v>
      </c>
      <c r="C61" s="0">
        <f>DWS_Hst+DWS_Kq*A61+B61</f>
        <v>1558.9732629814646</v>
      </c>
      <c r="D61" s="0" cm="1">
        <f ref="D61:D61" t="array">DWS_N*PO.ESP.Curve.HeadAtSpeed(A61,DWS_F,DWS_Fbase,DWS_CurveQ,DWS_CurveH)</f>
        <v>1385.710779073186</v>
      </c>
      <c r="E61" s="0">
        <f>D61-C61</f>
        <v>-173.26248390827868</v>
      </c>
    </row>
    <row r="62">
      <c r="A62" s="0">
        <f>DWS_GridTop*26/50</f>
        <v>3336.666666666667</v>
      </c>
      <c r="B62" s="0" cm="1">
        <f t="array" ref="B62">PO.ESP.System.Hfric(A62,DWS_FlowID,DWS_FlowL,DWS_SG)</f>
        <v>1.316576403608807</v>
      </c>
      <c r="C62" s="0">
        <f>DWS_Hst+DWS_Kq*A62+B62</f>
        <v>1621.4030250017397</v>
      </c>
      <c r="D62" s="0" cm="1">
        <f ref="D62:D62" t="array">DWS_N*PO.ESP.Curve.HeadAtSpeed(A62,DWS_F,DWS_Fbase,DWS_CurveQ,DWS_CurveH)</f>
        <v>1338.858873931092</v>
      </c>
      <c r="E62" s="0">
        <f>D62-C62</f>
        <v>-282.5441510706478</v>
      </c>
    </row>
    <row r="63">
      <c r="A63" s="0">
        <f>DWS_GridTop*27/50</f>
        <v>3465</v>
      </c>
      <c r="B63" s="0" cm="1">
        <f t="array" ref="B63">PO.ESP.System.Hfric(A63,DWS_FlowID,DWS_FlowL,DWS_SG)</f>
        <v>1.4117842648183345</v>
      </c>
      <c r="C63" s="0">
        <f>DWS_Hst+DWS_Kq*A63+B63</f>
        <v>1683.8358496853791</v>
      </c>
      <c r="D63" s="0" cm="1">
        <f ref="D63:D63" t="array">DWS_N*PO.ESP.Curve.HeadAtSpeed(A63,DWS_F,DWS_Fbase,DWS_CurveQ,DWS_CurveH)</f>
        <v>1289.7749567026074</v>
      </c>
      <c r="E63" s="0">
        <f>D63-C63</f>
        <v>-394.06089298277175</v>
      </c>
    </row>
    <row r="64">
      <c r="A64" s="0">
        <f>DWS_GridTop*28/50</f>
        <v>3593.333333333334</v>
      </c>
      <c r="B64" s="0" cm="1">
        <f t="array" ref="B64">PO.ESP.System.Hfric(A64,DWS_FlowID,DWS_FlowL,DWS_SG)</f>
        <v>1.5100374957758966</v>
      </c>
      <c r="C64" s="0">
        <f>DWS_Hst+DWS_Kq*A64+B64</f>
        <v>1746.2717197387667</v>
      </c>
      <c r="D64" s="0" cm="1">
        <f ref="D64:D64" t="array">DWS_N*PO.ESP.Curve.HeadAtSpeed(A64,DWS_F,DWS_Fbase,DWS_CurveQ,DWS_CurveH)</f>
        <v>1238.3263877536224</v>
      </c>
      <c r="E64" s="0">
        <f>D64-C64</f>
        <v>-507.9453319851443</v>
      </c>
    </row>
    <row r="65">
      <c r="A65" s="0">
        <f>DWS_GridTop*29/50</f>
        <v>3721.666666666667</v>
      </c>
      <c r="B65" s="0" cm="1">
        <f t="array" ref="B65">PO.ESP.System.Hfric(A65,DWS_FlowID,DWS_FlowL,DWS_SG)</f>
        <v>1.6113195245814436</v>
      </c>
      <c r="C65" s="0">
        <f>DWS_Hst+DWS_Kq*A65+B65</f>
        <v>1808.710618590002</v>
      </c>
      <c r="D65" s="0" cm="1">
        <f ref="D65:D65" t="array">DWS_N*PO.ESP.Curve.HeadAtSpeed(A65,DWS_F,DWS_Fbase,DWS_CurveQ,DWS_CurveH)</f>
        <v>1184.6194734626865</v>
      </c>
      <c r="E65" s="0">
        <f>D65-C65</f>
        <v>-624.0911451273155</v>
      </c>
    </row>
    <row r="66">
      <c r="A66" s="0">
        <f>DWS_GridTop*30/50</f>
        <v>3850</v>
      </c>
      <c r="B66" s="0" cm="1">
        <f t="array" ref="B66">PO.ESP.System.Hfric(A66,DWS_FlowID,DWS_FlowL,DWS_SG)</f>
        <v>1.7156144466969032</v>
      </c>
      <c r="C66" s="0">
        <f>DWS_Hst+DWS_Kq*A66+B66</f>
        <v>1871.1525303345472</v>
      </c>
      <c r="D66" s="0" cm="1">
        <f ref="D66:D66" t="array">DWS_N*PO.ESP.Curve.HeadAtSpeed(A66,DWS_F,DWS_Fbase,DWS_CurveQ,DWS_CurveH)</f>
        <v>1128.828164602481</v>
      </c>
      <c r="E66" s="0">
        <f>D66-C66</f>
        <v>-742.3243657320663</v>
      </c>
    </row>
    <row r="67">
      <c r="A67" s="0">
        <f>DWS_GridTop*31/50</f>
        <v>3978.333333333334</v>
      </c>
      <c r="B67" s="0" cm="1">
        <f t="array" ref="B67">PO.ESP.System.Hfric(A67,DWS_FlowID,DWS_FlowL,DWS_SG)</f>
        <v>1.822906976388101</v>
      </c>
      <c r="C67" s="0">
        <f>DWS_Hst+DWS_Kq*A67+B67</f>
        <v>1933.5974396866686</v>
      </c>
      <c r="D67" s="0" cm="1">
        <f ref="D67:D67" t="array">DWS_N*PO.ESP.Curve.HeadAtSpeed(A67,DWS_F,DWS_Fbase,DWS_CurveQ,DWS_CurveH)</f>
        <v>1071.1263719667966</v>
      </c>
      <c r="E67" s="0">
        <f>D67-C67</f>
        <v>-862.471067719872</v>
      </c>
    </row>
    <row r="68">
      <c r="A68" s="0">
        <f>DWS_GridTop*32/50</f>
        <v>4106.666666666667</v>
      </c>
      <c r="B68" s="0" cm="1">
        <f t="array" ref="B68">PO.ESP.System.Hfric(A68,DWS_FlowID,DWS_FlowL,DWS_SG)</f>
        <v>1.9331824031749805</v>
      </c>
      <c r="C68" s="0">
        <f>DWS_Hst+DWS_Kq*A68+B68</f>
        <v>1996.045331935885</v>
      </c>
      <c r="D68" s="0" cm="1">
        <f ref="D68:D68" t="array">DWS_N*PO.ESP.Curve.HeadAtSpeed(A68,DWS_F,DWS_Fbase,DWS_CurveQ,DWS_CurveH)</f>
        <v>1011.6211884329045</v>
      </c>
      <c r="E68" s="0">
        <f>D68-C68</f>
        <v>-984.4241435029805</v>
      </c>
    </row>
    <row r="69">
      <c r="A69" s="0">
        <f>DWS_GridTop*33/50</f>
        <v>4235</v>
      </c>
      <c r="B69" s="0" cm="1">
        <f t="array" ref="B69">PO.ESP.System.Hfric(A69,DWS_FlowID,DWS_FlowL,DWS_SG)</f>
        <v>2.046426552630995</v>
      </c>
      <c r="C69" s="0">
        <f>DWS_Hst+DWS_Kq*A69+B69</f>
        <v>2058.496192907771</v>
      </c>
      <c r="D69" s="0" cm="1">
        <f ref="D69:D69" t="array">DWS_N*PO.ESP.Curve.HeadAtSpeed(A69,DWS_F,DWS_Fbase,DWS_CurveQ,DWS_CurveH)</f>
        <v>950.2184775309045</v>
      </c>
      <c r="E69" s="0">
        <f>D69-C69</f>
        <v>-1108.2777153768664</v>
      </c>
    </row>
    <row r="70">
      <c r="A70" s="0">
        <f>DWS_GridTop*34/50</f>
        <v>4363.333333333334</v>
      </c>
      <c r="B70" s="0" cm="1">
        <f t="array" ref="B70">PO.ESP.System.Hfric(A70,DWS_FlowID,DWS_FlowL,DWS_SG)</f>
        <v>2.1626257509768987</v>
      </c>
      <c r="C70" s="0">
        <f>DWS_Hst+DWS_Kq*A70+B70</f>
        <v>2120.950008928547</v>
      </c>
      <c r="D70" s="0" cm="1">
        <f ref="D70:D70" t="array">DWS_N*PO.ESP.Curve.HeadAtSpeed(A70,DWS_F,DWS_Fbase,DWS_CurveQ,DWS_CurveH)</f>
        <v>886.7863738661162</v>
      </c>
      <c r="E70" s="0">
        <f>D70-C70</f>
        <v>-1234.1636350624308</v>
      </c>
    </row>
    <row r="71">
      <c r="A71" s="0">
        <f>DWS_GridTop*35/50</f>
        <v>4491.666666666667</v>
      </c>
      <c r="B71" s="0" cm="1">
        <f t="array" ref="B71">PO.ESP.System.Hfric(A71,DWS_FlowID,DWS_FlowL,DWS_SG)</f>
        <v>2.2817667929994006</v>
      </c>
      <c r="C71" s="0">
        <f>DWS_Hst+DWS_Kq*A71+B71</f>
        <v>2183.406766792999</v>
      </c>
      <c r="D71" s="0" cm="1">
        <f ref="D71:D71" t="array">DWS_N*PO.ESP.Curve.HeadAtSpeed(A71,DWS_F,DWS_Fbase,DWS_CurveQ,DWS_CurveH)</f>
        <v>821.1932352556325</v>
      </c>
      <c r="E71" s="0">
        <f>D71-C71</f>
        <v>-1362.2135315373664</v>
      </c>
    </row>
    <row r="72">
      <c r="A72" s="0">
        <f>DWS_GridTop*36/50</f>
        <v>4620</v>
      </c>
      <c r="B72" s="0" cm="1">
        <f t="array" ref="B72">PO.ESP.System.Hfric(A72,DWS_FlowID,DWS_FlowL,DWS_SG)</f>
        <v>2.40383691289517</v>
      </c>
      <c r="C72" s="0">
        <f>DWS_Hst+DWS_Kq*A72+B72</f>
        <v>2245.8664537353247</v>
      </c>
      <c r="D72" s="0" cm="1">
        <f ref="D72:D72" t="array">DWS_N*PO.ESP.Curve.HeadAtSpeed(A72,DWS_F,DWS_Fbase,DWS_CurveQ,DWS_CurveH)</f>
        <v>753.3398361113298</v>
      </c>
      <c r="E72" s="0">
        <f>D72-C72</f>
        <v>-1492.526617623995</v>
      </c>
    </row>
    <row r="73">
      <c r="A73" s="0">
        <f>DWS_GridTop*37/50</f>
        <v>4748.333333333334</v>
      </c>
      <c r="B73" s="0" cm="1">
        <f t="array" ref="B73">PO.ESP.System.Hfric(A73,DWS_FlowID,DWS_FlowL,DWS_SG)</f>
        <v>2.528823757698571</v>
      </c>
      <c r="C73" s="0">
        <f>DWS_Hst+DWS_Kq*A73+B73</f>
        <v>2308.3290574025586</v>
      </c>
      <c r="D73" s="0" cm="1">
        <f ref="D73:D73" t="array">DWS_N*PO.ESP.Curve.HeadAtSpeed(A73,DWS_F,DWS_Fbase,DWS_CurveQ,DWS_CurveH)</f>
        <v>683.1930499484557</v>
      </c>
      <c r="E73" s="0">
        <f>D73-C73</f>
        <v>-1625.136007454103</v>
      </c>
    </row>
    <row r="74">
      <c r="A74" s="0">
        <f>DWS_GridTop*38/50</f>
        <v>4876.666666666667</v>
      </c>
      <c r="B74" s="0" cm="1">
        <f t="array" ref="B74">PO.ESP.System.Hfric(A74,DWS_FlowID,DWS_FlowL,DWS_SG)</f>
        <v>2.656715362999679</v>
      </c>
      <c r="C74" s="0">
        <f>DWS_Hst+DWS_Kq*A74+B74</f>
        <v>2370.7945658302892</v>
      </c>
      <c r="D74" s="0" cm="1">
        <f ref="D74:D74" t="array">DWS_N*PO.ESP.Curve.HeadAtSpeed(A74,DWS_F,DWS_Fbase,DWS_CurveQ,DWS_CurveH)</f>
        <v>610.7278022303715</v>
      </c>
      <c r="E74" s="0">
        <f>D74-C74</f>
        <v>-1760.0667635999177</v>
      </c>
    </row>
    <row r="75">
      <c r="A75" s="0">
        <f>DWS_GridTop*39/50</f>
        <v>5005</v>
      </c>
      <c r="B75" s="0" cm="1">
        <f t="array" ref="B75">PO.ESP.System.Hfric(A75,DWS_FlowID,DWS_FlowL,DWS_SG)</f>
        <v>2.7875001306994127</v>
      </c>
      <c r="C75" s="0">
        <f>DWS_Hst+DWS_Kq*A75+B75</f>
        <v>2433.2629674204186</v>
      </c>
      <c r="D75" s="0" cm="1">
        <f ref="D75:D75" t="array">DWS_N*PO.ESP.Curve.HeadAtSpeed(A75,DWS_F,DWS_Fbase,DWS_CurveQ,DWS_CurveH)</f>
        <v>535.9243539350334</v>
      </c>
      <c r="E75" s="0">
        <f>D75-C75</f>
        <v>-1897.3386134853852</v>
      </c>
    </row>
    <row r="76">
      <c r="A76" s="0">
        <f>DWS_GridTop*40/50</f>
        <v>5133.333333333334</v>
      </c>
      <c r="B76" s="0" cm="1">
        <f t="array" ref="B76">PO.ESP.System.Hfric(A76,DWS_FlowID,DWS_FlowL,DWS_SG)</f>
        <v>2.9211668085824103</v>
      </c>
      <c r="C76" s="0">
        <f>DWS_Hst+DWS_Kq*A76+B76</f>
        <v>2495.7342509207315</v>
      </c>
      <c r="D76" s="0" cm="1">
        <f ref="D76:D76" t="array">DWS_N*PO.ESP.Curve.HeadAtSpeed(A76,DWS_F,DWS_Fbase,DWS_CurveQ,DWS_CurveH)</f>
        <v>459.0136681029086</v>
      </c>
      <c r="E76" s="0">
        <f>D76-C76</f>
        <v>-2036.720582817823</v>
      </c>
    </row>
    <row r="77">
      <c r="A77" s="0">
        <f>DWS_GridTop*41/50</f>
        <v>5261.666666666668</v>
      </c>
      <c r="B77" s="0" cm="1">
        <f t="array" ref="B77">PO.ESP.System.Hfric(A77,DWS_FlowID,DWS_FlowL,DWS_SG)</f>
        <v>3.057704471516883</v>
      </c>
      <c r="C77" s="0">
        <f>DWS_Hst+DWS_Kq*A77+B77</f>
        <v>2558.2084054060965</v>
      </c>
      <c r="D77" s="0" cm="1">
        <f ref="D77:D77" t="array">DWS_N*PO.ESP.Curve.HeadAtSpeed(A77,DWS_F,DWS_Fbase,DWS_CurveQ,DWS_CurveH)</f>
        <v>380.579898304256</v>
      </c>
      <c r="E77" s="0">
        <f>D77-C77</f>
        <v>-2177.6285071018406</v>
      </c>
    </row>
    <row r="78">
      <c r="A78" s="0">
        <f>DWS_GridTop*42/50</f>
        <v>5390</v>
      </c>
      <c r="B78" s="0" cm="1">
        <f t="array" ref="B78">PO.ESP.System.Hfric(A78,DWS_FlowID,DWS_FlowL,DWS_SG)</f>
        <v>3.197102504114914</v>
      </c>
      <c r="C78" s="0">
        <f>DWS_Hst+DWS_Kq*A78+B78</f>
        <v>2620.685420261124</v>
      </c>
      <c r="D78" s="0" cm="1">
        <f ref="D78:D78" t="array">DWS_N*PO.ESP.Curve.HeadAtSpeed(A78,DWS_F,DWS_Fbase,DWS_CurveQ,DWS_CurveH)</f>
        <v>301.23378913683706</v>
      </c>
      <c r="E78" s="0">
        <f>D78-C78</f>
        <v>-2319.451631124287</v>
      </c>
    </row>
    <row r="79">
      <c r="A79" s="0">
        <f>DWS_GridTop*43/50</f>
        <v>5518.333333333334</v>
      </c>
      <c r="B79" s="0" cm="1">
        <f t="array" ref="B79">PO.ESP.System.Hfric(A79,DWS_FlowID,DWS_FlowL,DWS_SG)</f>
        <v>3.339350584707318</v>
      </c>
      <c r="C79" s="0">
        <f>DWS_Hst+DWS_Kq*A79+B79</f>
        <v>2683.1652851641466</v>
      </c>
      <c r="D79" s="0" cm="1">
        <f ref="D79:D79" t="array">DWS_N*PO.ESP.Curve.HeadAtSpeed(A79,DWS_F,DWS_Fbase,DWS_CurveQ,DWS_CurveH)</f>
        <v>0</v>
      </c>
      <c r="E79" s="0">
        <f>D79-C79</f>
        <v>-2683.1652851641466</v>
      </c>
    </row>
    <row r="80">
      <c r="A80" s="0">
        <f>DWS_GridTop*44/50</f>
        <v>5646.666666666668</v>
      </c>
      <c r="B80" s="0" cm="1">
        <f t="array" ref="B80">PO.ESP.System.Hfric(A80,DWS_FlowID,DWS_FlowL,DWS_SG)</f>
        <v>3.484438670504803</v>
      </c>
      <c r="C80" s="0">
        <f>DWS_Hst+DWS_Kq*A80+B80</f>
        <v>2745.6479900723743</v>
      </c>
      <c r="D80" s="0" cm="1">
        <f ref="D80:D80" t="array">DWS_N*PO.ESP.Curve.HeadAtSpeed(A80,DWS_F,DWS_Fbase,DWS_CurveQ,DWS_CurveH)</f>
        <v>0</v>
      </c>
      <c r="E80" s="0">
        <f>D80-C80</f>
        <v>-2745.6479900723743</v>
      </c>
    </row>
    <row r="81">
      <c r="A81" s="0">
        <f>DWS_GridTop*45/50</f>
        <v>5775</v>
      </c>
      <c r="B81" s="0" cm="1">
        <f t="array" ref="B81">PO.ESP.System.Hfric(A81,DWS_FlowID,DWS_FlowL,DWS_SG)</f>
        <v>3.632356983832417</v>
      </c>
      <c r="C81" s="0">
        <f>DWS_Hst+DWS_Kq*A81+B81</f>
        <v>2808.133525208131</v>
      </c>
      <c r="D81" s="0" cm="1">
        <f ref="D81:D81" t="array">DWS_N*PO.ESP.Curve.HeadAtSpeed(A81,DWS_F,DWS_Fbase,DWS_CurveQ,DWS_CurveH)</f>
        <v>0</v>
      </c>
      <c r="E81" s="0">
        <f>D81-C81</f>
        <v>-2808.133525208131</v>
      </c>
    </row>
    <row r="82">
      <c r="A82" s="0">
        <f>DWS_GridTop*46/50</f>
        <v>5903.333333333334</v>
      </c>
      <c r="B82" s="0" cm="1">
        <f t="array" ref="B82">PO.ESP.System.Hfric(A82,DWS_FlowID,DWS_FlowL,DWS_SG)</f>
        <v>3.7830959993372693</v>
      </c>
      <c r="C82" s="0">
        <f>DWS_Hst+DWS_Kq*A82+B82</f>
        <v>2870.621881046066</v>
      </c>
      <c r="D82" s="0" cm="1">
        <f ref="D82:D82" t="array">DWS_N*PO.ESP.Curve.HeadAtSpeed(A82,DWS_F,DWS_Fbase,DWS_CurveQ,DWS_CurveH)</f>
        <v>0</v>
      </c>
      <c r="E82" s="0">
        <f>D82-C82</f>
        <v>-2870.621881046066</v>
      </c>
    </row>
    <row r="83">
      <c r="A83" s="0">
        <f>DWS_GridTop*47/50</f>
        <v>6031.666666666668</v>
      </c>
      <c r="B83" s="0" cm="1">
        <f t="array" ref="B83">PO.ESP.System.Hfric(A83,DWS_FlowID,DWS_FlowL,DWS_SG)</f>
        <v>3.936646432080835</v>
      </c>
      <c r="C83" s="0">
        <f>DWS_Hst+DWS_Kq*A83+B83</f>
        <v>2933.11304830124</v>
      </c>
      <c r="D83" s="0" cm="1">
        <f ref="D83:D83" t="array">DWS_N*PO.ESP.Curve.HeadAtSpeed(A83,DWS_F,DWS_Fbase,DWS_CurveQ,DWS_CurveH)</f>
        <v>0</v>
      </c>
      <c r="E83" s="0">
        <f>D83-C83</f>
        <v>-2933.11304830124</v>
      </c>
    </row>
    <row r="84">
      <c r="A84" s="0">
        <f>DWS_GridTop*48/50</f>
        <v>6160</v>
      </c>
      <c r="B84" s="0" cm="1">
        <f t="array" ref="B84">PO.ESP.System.Hfric(A84,DWS_FlowID,DWS_FlowL,DWS_SG)</f>
        <v>4.092999226437007</v>
      </c>
      <c r="C84" s="0">
        <f>DWS_Hst+DWS_Kq*A84+B84</f>
        <v>2995.607017918025</v>
      </c>
      <c r="D84" s="0" cm="1">
        <f ref="D84:D84" t="array">DWS_N*PO.ESP.Curve.HeadAtSpeed(A84,DWS_F,DWS_Fbase,DWS_CurveQ,DWS_CurveH)</f>
        <v>0</v>
      </c>
      <c r="E84" s="0">
        <f>D84-C84</f>
        <v>-2995.607017918025</v>
      </c>
    </row>
    <row r="85">
      <c r="A85" s="0">
        <f>DWS_GridTop*49/50</f>
        <v>6288.333333333334</v>
      </c>
      <c r="B85" s="0" cm="1">
        <f t="array" ref="B85">PO.ESP.System.Hfric(A85,DWS_FlowID,DWS_FlowL,DWS_SG)</f>
        <v>4.252145545725549</v>
      </c>
      <c r="C85" s="0">
        <f>DWS_Hst+DWS_Kq*A85+B85</f>
        <v>3058.103781059744</v>
      </c>
      <c r="D85" s="0" cm="1">
        <f ref="D85:D85" t="array">DWS_N*PO.ESP.Curve.HeadAtSpeed(A85,DWS_F,DWS_Fbase,DWS_CurveQ,DWS_CurveH)</f>
        <v>0</v>
      </c>
      <c r="E85" s="0">
        <f>D85-C85</f>
        <v>-3058.103781059744</v>
      </c>
    </row>
    <row r="86">
      <c r="A86" s="0">
        <f>DWS_GridTop*50/50</f>
        <v>6416.666666666668</v>
      </c>
      <c r="B86" s="0" cm="1">
        <f t="array" ref="B86">PO.ESP.System.Hfric(A86,DWS_FlowID,DWS_FlowL,DWS_SG)</f>
        <v>4.414076762518083</v>
      </c>
      <c r="C86" s="0">
        <f>DWS_Hst+DWS_Kq*A86+B86</f>
        <v>3120.6033290989667</v>
      </c>
      <c r="D86" s="0" cm="1">
        <f ref="D86:D86" t="array">DWS_N*PO.ESP.Curve.HeadAtSpeed(A86,DWS_F,DWS_Fbase,DWS_CurveQ,DWS_CurveH)</f>
        <v>0</v>
      </c>
      <c r="E86" s="0">
        <f>D86-C86</f>
        <v>-3120.6033290989667</v>
      </c>
    </row>
    <row r="88">
      <c r="A88" s="0" t="s">
        <v>200</v>
      </c>
      <c r="B88" s="0">
        <f>COUNTIF($E$36:$E$86,"&gt;0")</f>
        <v>24</v>
      </c>
    </row>
    <row r="90">
      <c r="A90" s="7" t="s">
        <v>201</v>
      </c>
      <c r="B90" s="7"/>
      <c r="C90" s="7"/>
      <c r="D90" s="7"/>
      <c r="E90" s="7"/>
      <c r="F90" s="7"/>
      <c r="G90" s="7"/>
    </row>
    <row r="91">
      <c r="B91" s="1" t="s">
        <v>202</v>
      </c>
      <c r="C91" s="1" t="s">
        <v>161</v>
      </c>
      <c r="D91" s="1" t="s">
        <v>162</v>
      </c>
      <c r="E91" s="1" t="s">
        <v>163</v>
      </c>
      <c r="F91" s="1" t="s">
        <v>164</v>
      </c>
      <c r="G91" s="1" t="s">
        <v>165</v>
      </c>
    </row>
    <row r="92">
      <c r="A92" s="0" t="s">
        <v>92</v>
      </c>
      <c r="B92" s="0">
        <f>DWS_Qd</f>
        <v>3000</v>
      </c>
      <c r="C92" s="0">
        <f>INDEX(DWS_Cases,1)</f>
        <v>2000</v>
      </c>
      <c r="D92" s="0">
        <f>INDEX(DWS_Cases,2)</f>
        <v>2500</v>
      </c>
      <c r="E92" s="0">
        <f>INDEX(DWS_Cases,3)</f>
        <v>3000</v>
      </c>
      <c r="F92" s="0">
        <f>INDEX(DWS_Cases,4)</f>
        <v>3500</v>
      </c>
      <c r="G92" s="0">
        <f>INDEX(DWS_Cases,5)</f>
        <v>4000</v>
      </c>
    </row>
    <row r="93">
      <c r="A93" s="0" t="s">
        <v>197</v>
      </c>
      <c r="B93" s="0" cm="1">
        <f t="array" ref="B93">DWS_Hst+DWS_Kq*B92+PO.ESP.System.Hfric(B92,DWS_FlowID,DWS_FlowL,DWS_SG)</f>
        <v>1457.6328150689428</v>
      </c>
      <c r="C93" s="0" cm="1">
        <f t="array" ref="C93">DWS_Hst+DWS_Kq*C92+PO.ESP.System.Hfric(C92,DWS_FlowID,DWS_FlowL,DWS_SG)</f>
        <v>971.3145053256958</v>
      </c>
      <c r="D93" s="0" cm="1">
        <f t="array" ref="D93">DWS_Hst+DWS_Kq*D92+PO.ESP.System.Hfric(D92,DWS_FlowID,DWS_FlowL,DWS_SG)</f>
        <v>1214.4493729135434</v>
      </c>
      <c r="E93" s="0" cm="1">
        <f t="array" ref="E93">DWS_Hst+DWS_Kq*E92+PO.ESP.System.Hfric(E92,DWS_FlowID,DWS_FlowL,DWS_SG)</f>
        <v>1457.6328150689428</v>
      </c>
      <c r="F93" s="0" cm="1">
        <f t="array" ref="F93">DWS_Hst+DWS_Kq*F92+PO.ESP.System.Hfric(F92,DWS_FlowID,DWS_FlowL,DWS_SG)</f>
        <v>1700.8635129351333</v>
      </c>
      <c r="G93" s="0" cm="1">
        <f t="array" ref="G93">DWS_Hst+DWS_Kq*G92+PO.ESP.System.Hfric(G92,DWS_FlowID,DWS_FlowL,DWS_SG)</f>
        <v>1944.1403814293258</v>
      </c>
    </row>
    <row r="94">
      <c r="A94" s="1" t="s">
        <v>157</v>
      </c>
      <c r="B94" s="1" t="s">
        <v>203</v>
      </c>
    </row>
    <row r="95">
      <c r="A95" s="0">
        <f>DWS_Fbase*(0.5+0*0.75/45)</f>
        <v>30</v>
      </c>
      <c r="B95" s="0" cm="1">
        <f ref="B95:B95" t="array">DWS_N*PO.ESP.Curve.HeadAtSpeed(B$92,$A95,DWS_Fbase,DWS_CurveQ,DWS_CurveH)</f>
        <v>0</v>
      </c>
      <c r="C95" s="0" cm="1">
        <f ref="C95:C95" t="array">DWS_N*PO.ESP.Curve.HeadAtSpeed(C$92,$A95,DWS_Fbase,DWS_CurveQ,DWS_CurveH)</f>
        <v>273.8</v>
      </c>
      <c r="D95" s="0" cm="1">
        <f ref="D95:D95" t="array">DWS_N*PO.ESP.Curve.HeadAtSpeed(D$92,$A95,DWS_Fbase,DWS_CurveQ,DWS_CurveH)</f>
        <v>143.375</v>
      </c>
      <c r="E95" s="0" cm="1">
        <f ref="E95:E95" t="array">DWS_N*PO.ESP.Curve.HeadAtSpeed(E$92,$A95,DWS_Fbase,DWS_CurveQ,DWS_CurveH)</f>
        <v>0</v>
      </c>
      <c r="F95" s="0" cm="1">
        <f ref="F95:F95" t="array">DWS_N*PO.ESP.Curve.HeadAtSpeed(F$92,$A95,DWS_Fbase,DWS_CurveQ,DWS_CurveH)</f>
        <v>0</v>
      </c>
      <c r="G95" s="0" cm="1">
        <f ref="G95:G95" t="array">DWS_N*PO.ESP.Curve.HeadAtSpeed(G$92,$A95,DWS_Fbase,DWS_CurveQ,DWS_CurveH)</f>
        <v>0</v>
      </c>
    </row>
    <row r="96">
      <c r="A96" s="0">
        <f>DWS_Fbase*(0.5+1*0.75/45)</f>
        <v>31.000000000000004</v>
      </c>
      <c r="B96" s="0" cm="1">
        <f ref="B96:B96" t="array">DWS_N*PO.ESP.Curve.HeadAtSpeed(B$92,$A96,DWS_Fbase,DWS_CurveQ,DWS_CurveH)</f>
        <v>0</v>
      </c>
      <c r="C96" s="0" cm="1">
        <f ref="C96:C96" t="array">DWS_N*PO.ESP.Curve.HeadAtSpeed(C$92,$A96,DWS_Fbase,DWS_CurveQ,DWS_CurveH)</f>
        <v>307.9304925370281</v>
      </c>
      <c r="D96" s="0" cm="1">
        <f ref="D96:D96" t="array">DWS_N*PO.ESP.Curve.HeadAtSpeed(D$92,$A96,DWS_Fbase,DWS_CurveQ,DWS_CurveH)</f>
        <v>178.0141427322126</v>
      </c>
      <c r="E96" s="0" cm="1">
        <f ref="E96:E96" t="array">DWS_N*PO.ESP.Curve.HeadAtSpeed(E$92,$A96,DWS_Fbase,DWS_CurveQ,DWS_CurveH)</f>
        <v>0</v>
      </c>
      <c r="F96" s="0" cm="1">
        <f ref="F96:F96" t="array">DWS_N*PO.ESP.Curve.HeadAtSpeed(F$92,$A96,DWS_Fbase,DWS_CurveQ,DWS_CurveH)</f>
        <v>0</v>
      </c>
      <c r="G96" s="0" cm="1">
        <f ref="G96:G96" t="array">DWS_N*PO.ESP.Curve.HeadAtSpeed(G$92,$A96,DWS_Fbase,DWS_CurveQ,DWS_CurveH)</f>
        <v>0</v>
      </c>
    </row>
    <row r="97">
      <c r="A97" s="0">
        <f>DWS_Fbase*(0.5+2*0.75/45)</f>
        <v>32</v>
      </c>
      <c r="B97" s="0" cm="1">
        <f ref="B97:B97" t="array">DWS_N*PO.ESP.Curve.HeadAtSpeed(B$92,$A97,DWS_Fbase,DWS_CurveQ,DWS_CurveH)</f>
        <v>0</v>
      </c>
      <c r="C97" s="0" cm="1">
        <f ref="C97:C97" t="array">DWS_N*PO.ESP.Curve.HeadAtSpeed(C$92,$A97,DWS_Fbase,DWS_CurveQ,DWS_CurveH)</f>
        <v>343.1719636531128</v>
      </c>
      <c r="D97" s="0" cm="1">
        <f ref="D97:D97" t="array">DWS_N*PO.ESP.Curve.HeadAtSpeed(D$92,$A97,DWS_Fbase,DWS_CurveQ,DWS_CurveH)</f>
        <v>213.62947632706613</v>
      </c>
      <c r="E97" s="0" cm="1">
        <f ref="E97:E97" t="array">DWS_N*PO.ESP.Curve.HeadAtSpeed(E$92,$A97,DWS_Fbase,DWS_CurveQ,DWS_CurveH)</f>
        <v>0</v>
      </c>
      <c r="F97" s="0" cm="1">
        <f ref="F97:F97" t="array">DWS_N*PO.ESP.Curve.HeadAtSpeed(F$92,$A97,DWS_Fbase,DWS_CurveQ,DWS_CurveH)</f>
        <v>0</v>
      </c>
      <c r="G97" s="0" cm="1">
        <f ref="G97:G97" t="array">DWS_N*PO.ESP.Curve.HeadAtSpeed(G$92,$A97,DWS_Fbase,DWS_CurveQ,DWS_CurveH)</f>
        <v>0</v>
      </c>
    </row>
    <row r="98">
      <c r="A98" s="0">
        <f>DWS_Fbase*(0.5+3*0.75/45)</f>
        <v>33</v>
      </c>
      <c r="B98" s="0" cm="1">
        <f ref="B98:B98" t="array">DWS_N*PO.ESP.Curve.HeadAtSpeed(B$92,$A98,DWS_Fbase,DWS_CurveQ,DWS_CurveH)</f>
        <v>89.19404124661992</v>
      </c>
      <c r="C98" s="0" cm="1">
        <f ref="C98:C98" t="array">DWS_N*PO.ESP.Curve.HeadAtSpeed(C$92,$A98,DWS_Fbase,DWS_CurveQ,DWS_CurveH)</f>
        <v>379.4845278045767</v>
      </c>
      <c r="D98" s="0" cm="1">
        <f ref="D98:D98" t="array">DWS_N*PO.ESP.Curve.HeadAtSpeed(D$92,$A98,DWS_Fbase,DWS_CurveQ,DWS_CurveH)</f>
        <v>250.23222979300735</v>
      </c>
      <c r="E98" s="0" cm="1">
        <f ref="E98:E98" t="array">DWS_N*PO.ESP.Curve.HeadAtSpeed(E$92,$A98,DWS_Fbase,DWS_CurveQ,DWS_CurveH)</f>
        <v>89.19404124661992</v>
      </c>
      <c r="F98" s="0" cm="1">
        <f ref="F98:F98" t="array">DWS_N*PO.ESP.Curve.HeadAtSpeed(F$92,$A98,DWS_Fbase,DWS_CurveQ,DWS_CurveH)</f>
        <v>0</v>
      </c>
      <c r="G98" s="0" cm="1">
        <f ref="G98:G98" t="array">DWS_N*PO.ESP.Curve.HeadAtSpeed(G$92,$A98,DWS_Fbase,DWS_CurveQ,DWS_CurveH)</f>
        <v>0</v>
      </c>
    </row>
    <row r="99">
      <c r="A99" s="0">
        <f>DWS_Fbase*(0.5+4*0.75/45)</f>
        <v>34</v>
      </c>
      <c r="B99" s="0" cm="1">
        <f ref="B99:B99" t="array">DWS_N*PO.ESP.Curve.HeadAtSpeed(B$92,$A99,DWS_Fbase,DWS_CurveQ,DWS_CurveH)</f>
        <v>126.80486541122823</v>
      </c>
      <c r="C99" s="0" cm="1">
        <f ref="C99:C99" t="array">DWS_N*PO.ESP.Curve.HeadAtSpeed(C$92,$A99,DWS_Fbase,DWS_CurveQ,DWS_CurveH)</f>
        <v>416.8329918646449</v>
      </c>
      <c r="D99" s="0" cm="1">
        <f ref="D99:D99" t="array">DWS_N*PO.ESP.Curve.HeadAtSpeed(D$92,$A99,DWS_Fbase,DWS_CurveQ,DWS_CurveH)</f>
        <v>287.8341529074434</v>
      </c>
      <c r="E99" s="0" cm="1">
        <f ref="E99:E99" t="array">DWS_N*PO.ESP.Curve.HeadAtSpeed(E$92,$A99,DWS_Fbase,DWS_CurveQ,DWS_CurveH)</f>
        <v>126.80486541122823</v>
      </c>
      <c r="F99" s="0" cm="1">
        <f ref="F99:F99" t="array">DWS_N*PO.ESP.Curve.HeadAtSpeed(F$92,$A99,DWS_Fbase,DWS_CurveQ,DWS_CurveH)</f>
        <v>0</v>
      </c>
      <c r="G99" s="0" cm="1">
        <f ref="G99:G99" t="array">DWS_N*PO.ESP.Curve.HeadAtSpeed(G$92,$A99,DWS_Fbase,DWS_CurveQ,DWS_CurveH)</f>
        <v>0</v>
      </c>
    </row>
    <row r="100">
      <c r="A100" s="0">
        <f>DWS_Fbase*(0.5+5*0.75/45)</f>
        <v>35</v>
      </c>
      <c r="B100" s="0" cm="1">
        <f ref="B100:B100" t="array">DWS_N*PO.ESP.Curve.HeadAtSpeed(B$92,$A100,DWS_Fbase,DWS_CurveQ,DWS_CurveH)</f>
        <v>166.0029578225476</v>
      </c>
      <c r="C100" s="0" cm="1">
        <f ref="C100:C100" t="array">DWS_N*PO.ESP.Curve.HeadAtSpeed(C$92,$A100,DWS_Fbase,DWS_CurveQ,DWS_CurveH)</f>
        <v>455.18966874805733</v>
      </c>
      <c r="D100" s="0" cm="1">
        <f ref="D100:D100" t="array">DWS_N*PO.ESP.Curve.HeadAtSpeed(D$92,$A100,DWS_Fbase,DWS_CurveQ,DWS_CurveH)</f>
        <v>326.4664521253541</v>
      </c>
      <c r="E100" s="0" cm="1">
        <f ref="E100:E100" t="array">DWS_N*PO.ESP.Curve.HeadAtSpeed(E$92,$A100,DWS_Fbase,DWS_CurveQ,DWS_CurveH)</f>
        <v>166.0029578225476</v>
      </c>
      <c r="F100" s="0" cm="1">
        <f ref="F100:F100" t="array">DWS_N*PO.ESP.Curve.HeadAtSpeed(F$92,$A100,DWS_Fbase,DWS_CurveQ,DWS_CurveH)</f>
        <v>0</v>
      </c>
      <c r="G100" s="0" cm="1">
        <f ref="G100:G100" t="array">DWS_N*PO.ESP.Curve.HeadAtSpeed(G$92,$A100,DWS_Fbase,DWS_CurveQ,DWS_CurveH)</f>
        <v>0</v>
      </c>
    </row>
    <row r="101">
      <c r="A101" s="0">
        <f>DWS_Fbase*(0.5+6*0.75/45)</f>
        <v>36</v>
      </c>
      <c r="B101" s="0" cm="1">
        <f ref="B101:B101" t="array">DWS_N*PO.ESP.Curve.HeadAtSpeed(B$92,$A101,DWS_Fbase,DWS_CurveQ,DWS_CurveH)</f>
        <v>206.46</v>
      </c>
      <c r="C101" s="0" cm="1">
        <f ref="C101:C101" t="array">DWS_N*PO.ESP.Curve.HeadAtSpeed(C$92,$A101,DWS_Fbase,DWS_CurveQ,DWS_CurveH)</f>
        <v>494.5632234958153</v>
      </c>
      <c r="D101" s="0" cm="1">
        <f ref="D101:D101" t="array">DWS_N*PO.ESP.Curve.HeadAtSpeed(D$92,$A101,DWS_Fbase,DWS_CurveQ,DWS_CurveH)</f>
        <v>366.16991280501156</v>
      </c>
      <c r="E101" s="0" cm="1">
        <f ref="E101:E101" t="array">DWS_N*PO.ESP.Curve.HeadAtSpeed(E$92,$A101,DWS_Fbase,DWS_CurveQ,DWS_CurveH)</f>
        <v>206.46</v>
      </c>
      <c r="F101" s="0" cm="1">
        <f ref="F101:F101" t="array">DWS_N*PO.ESP.Curve.HeadAtSpeed(F$92,$A101,DWS_Fbase,DWS_CurveQ,DWS_CurveH)</f>
        <v>0</v>
      </c>
      <c r="G101" s="0" cm="1">
        <f ref="G101:G101" t="array">DWS_N*PO.ESP.Curve.HeadAtSpeed(G$92,$A101,DWS_Fbase,DWS_CurveQ,DWS_CurveH)</f>
        <v>0</v>
      </c>
    </row>
    <row r="102">
      <c r="A102" s="0">
        <f>DWS_Fbase*(0.5+7*0.75/45)</f>
        <v>37</v>
      </c>
      <c r="B102" s="0" cm="1">
        <f ref="B102:B102" t="array">DWS_N*PO.ESP.Curve.HeadAtSpeed(B$92,$A102,DWS_Fbase,DWS_CurveQ,DWS_CurveH)</f>
        <v>247.92981956193162</v>
      </c>
      <c r="C102" s="0" cm="1">
        <f ref="C102:C102" t="array">DWS_N*PO.ESP.Curve.HeadAtSpeed(C$92,$A102,DWS_Fbase,DWS_CurveQ,DWS_CurveH)</f>
        <v>534.979760916442</v>
      </c>
      <c r="D102" s="0" cm="1">
        <f ref="D102:D102" t="array">DWS_N*PO.ESP.Curve.HeadAtSpeed(D$92,$A102,DWS_Fbase,DWS_CurveQ,DWS_CurveH)</f>
        <v>406.9811226381813</v>
      </c>
      <c r="E102" s="0" cm="1">
        <f ref="E102:E102" t="array">DWS_N*PO.ESP.Curve.HeadAtSpeed(E$92,$A102,DWS_Fbase,DWS_CurveQ,DWS_CurveH)</f>
        <v>247.92981956193162</v>
      </c>
      <c r="F102" s="0" cm="1">
        <f ref="F102:F102" t="array">DWS_N*PO.ESP.Curve.HeadAtSpeed(F$92,$A102,DWS_Fbase,DWS_CurveQ,DWS_CurveH)</f>
        <v>0</v>
      </c>
      <c r="G102" s="0" cm="1">
        <f ref="G102:G102" t="array">DWS_N*PO.ESP.Curve.HeadAtSpeed(G$92,$A102,DWS_Fbase,DWS_CurveQ,DWS_CurveH)</f>
        <v>0</v>
      </c>
    </row>
    <row r="103">
      <c r="A103" s="0">
        <f>DWS_Fbase*(0.5+8*0.75/45)</f>
        <v>38</v>
      </c>
      <c r="B103" s="0" cm="1">
        <f ref="B103:B103" t="array">DWS_N*PO.ESP.Curve.HeadAtSpeed(B$92,$A103,DWS_Fbase,DWS_CurveQ,DWS_CurveH)</f>
        <v>290.37385508664056</v>
      </c>
      <c r="C103" s="0" cm="1">
        <f ref="C103:C103" t="array">DWS_N*PO.ESP.Curve.HeadAtSpeed(C$92,$A103,DWS_Fbase,DWS_CurveQ,DWS_CurveH)</f>
        <v>576.4628433147349</v>
      </c>
      <c r="D103" s="0" cm="1">
        <f ref="D103:D103" t="array">DWS_N*PO.ESP.Curve.HeadAtSpeed(D$92,$A103,DWS_Fbase,DWS_CurveQ,DWS_CurveH)</f>
        <v>448.93141967134113</v>
      </c>
      <c r="E103" s="0" cm="1">
        <f ref="E103:E103" t="array">DWS_N*PO.ESP.Curve.HeadAtSpeed(E$92,$A103,DWS_Fbase,DWS_CurveQ,DWS_CurveH)</f>
        <v>290.37385508664056</v>
      </c>
      <c r="F103" s="0" cm="1">
        <f ref="F103:F103" t="array">DWS_N*PO.ESP.Curve.HeadAtSpeed(F$92,$A103,DWS_Fbase,DWS_CurveQ,DWS_CurveH)</f>
        <v>0</v>
      </c>
      <c r="G103" s="0" cm="1">
        <f ref="G103:G103" t="array">DWS_N*PO.ESP.Curve.HeadAtSpeed(G$92,$A103,DWS_Fbase,DWS_CurveQ,DWS_CurveH)</f>
        <v>0</v>
      </c>
    </row>
    <row r="104">
      <c r="A104" s="0">
        <f>DWS_Fbase*(0.5+9*0.75/45)</f>
        <v>39</v>
      </c>
      <c r="B104" s="0" cm="1">
        <f ref="B104:B104" t="array">DWS_N*PO.ESP.Curve.HeadAtSpeed(B$92,$A104,DWS_Fbase,DWS_CurveQ,DWS_CurveH)</f>
        <v>333.80175995818627</v>
      </c>
      <c r="C104" s="0" cm="1">
        <f ref="C104:C104" t="array">DWS_N*PO.ESP.Curve.HeadAtSpeed(C$92,$A104,DWS_Fbase,DWS_CurveQ,DWS_CurveH)</f>
        <v>619.0336163488458</v>
      </c>
      <c r="D104" s="0" cm="1">
        <f ref="D104:D104" t="array">DWS_N*PO.ESP.Curve.HeadAtSpeed(D$92,$A104,DWS_Fbase,DWS_CurveQ,DWS_CurveH)</f>
        <v>492.01759132213755</v>
      </c>
      <c r="E104" s="0" cm="1">
        <f ref="E104:E104" t="array">DWS_N*PO.ESP.Curve.HeadAtSpeed(E$92,$A104,DWS_Fbase,DWS_CurveQ,DWS_CurveH)</f>
        <v>333.80175995818627</v>
      </c>
      <c r="F104" s="0" cm="1">
        <f ref="F104:F104" t="array">DWS_N*PO.ESP.Curve.HeadAtSpeed(F$92,$A104,DWS_Fbase,DWS_CurveQ,DWS_CurveH)</f>
        <v>143.04723575779073</v>
      </c>
      <c r="G104" s="0" cm="1">
        <f ref="G104:G104" t="array">DWS_N*PO.ESP.Curve.HeadAtSpeed(G$92,$A104,DWS_Fbase,DWS_CurveQ,DWS_CurveH)</f>
        <v>0</v>
      </c>
    </row>
    <row r="105">
      <c r="A105" s="0">
        <f>DWS_Fbase*(0.5+10*0.75/45)</f>
        <v>40</v>
      </c>
      <c r="B105" s="0" cm="1">
        <f ref="B105:B105" t="array">DWS_N*PO.ESP.Curve.HeadAtSpeed(B$92,$A105,DWS_Fbase,DWS_CurveQ,DWS_CurveH)</f>
        <v>378.2222222222222</v>
      </c>
      <c r="C105" s="0" cm="1">
        <f ref="C105:C105" t="array">DWS_N*PO.ESP.Curve.HeadAtSpeed(C$92,$A105,DWS_Fbase,DWS_CurveQ,DWS_CurveH)</f>
        <v>662.711111111111</v>
      </c>
      <c r="D105" s="0" cm="1">
        <f ref="D105:D105" t="array">DWS_N*PO.ESP.Curve.HeadAtSpeed(D$92,$A105,DWS_Fbase,DWS_CurveQ,DWS_CurveH)</f>
        <v>536.2061932079888</v>
      </c>
      <c r="E105" s="0" cm="1">
        <f ref="E105:E105" t="array">DWS_N*PO.ESP.Curve.HeadAtSpeed(E$92,$A105,DWS_Fbase,DWS_CurveQ,DWS_CurveH)</f>
        <v>378.2222222222222</v>
      </c>
      <c r="F105" s="0" cm="1">
        <f ref="F105:F105" t="array">DWS_N*PO.ESP.Curve.HeadAtSpeed(F$92,$A105,DWS_Fbase,DWS_CurveQ,DWS_CurveH)</f>
        <v>187.63927984045554</v>
      </c>
      <c r="G105" s="0" cm="1">
        <f ref="G105:G105" t="array">DWS_N*PO.ESP.Curve.HeadAtSpeed(G$92,$A105,DWS_Fbase,DWS_CurveQ,DWS_CurveH)</f>
        <v>0</v>
      </c>
    </row>
    <row r="106">
      <c r="A106" s="0">
        <f>DWS_Fbase*(0.5+11*0.75/45)</f>
        <v>41</v>
      </c>
      <c r="B106" s="0" cm="1">
        <f ref="B106:B106" t="array">DWS_N*PO.ESP.Curve.HeadAtSpeed(B$92,$A106,DWS_Fbase,DWS_CurveQ,DWS_CurveH)</f>
        <v>423.6482371846389</v>
      </c>
      <c r="C106" s="0" cm="1">
        <f ref="C106:C106" t="array">DWS_N*PO.ESP.Curve.HeadAtSpeed(C$92,$A106,DWS_Fbase,DWS_CurveQ,DWS_CurveH)</f>
        <v>707.507148128158</v>
      </c>
      <c r="D106" s="0" cm="1">
        <f ref="D106:D106" t="array">DWS_N*PO.ESP.Curve.HeadAtSpeed(D$92,$A106,DWS_Fbase,DWS_CurveQ,DWS_CurveH)</f>
        <v>581.4657478189107</v>
      </c>
      <c r="E106" s="0" cm="1">
        <f ref="E106:E106" t="array">DWS_N*PO.ESP.Curve.HeadAtSpeed(E$92,$A106,DWS_Fbase,DWS_CurveQ,DWS_CurveH)</f>
        <v>423.6482371846389</v>
      </c>
      <c r="F106" s="0" cm="1">
        <f ref="F106:F106" t="array">DWS_N*PO.ESP.Curve.HeadAtSpeed(F$92,$A106,DWS_Fbase,DWS_CurveQ,DWS_CurveH)</f>
        <v>233.71999225090653</v>
      </c>
      <c r="G106" s="0" cm="1">
        <f ref="G106:G106" t="array">DWS_N*PO.ESP.Curve.HeadAtSpeed(G$92,$A106,DWS_Fbase,DWS_CurveQ,DWS_CurveH)</f>
        <v>0</v>
      </c>
    </row>
    <row r="107">
      <c r="A107" s="0">
        <f>DWS_Fbase*(0.5+12*0.75/45)</f>
        <v>42</v>
      </c>
      <c r="B107" s="0" cm="1">
        <f ref="B107:B107" t="array">DWS_N*PO.ESP.Curve.HeadAtSpeed(B$92,$A107,DWS_Fbase,DWS_CurveQ,DWS_CurveH)</f>
        <v>470.11169106050977</v>
      </c>
      <c r="C107" s="0" cm="1">
        <f ref="C107:C107" t="array">DWS_N*PO.ESP.Curve.HeadAtSpeed(C$92,$A107,DWS_Fbase,DWS_CurveQ,DWS_CurveH)</f>
        <v>753.411516559816</v>
      </c>
      <c r="D107" s="0" cm="1">
        <f ref="D107:D107" t="array">DWS_N*PO.ESP.Curve.HeadAtSpeed(D$92,$A107,DWS_Fbase,DWS_CurveQ,DWS_CurveH)</f>
        <v>627.7677755030123</v>
      </c>
      <c r="E107" s="0" cm="1">
        <f ref="E107:E107" t="array">DWS_N*PO.ESP.Curve.HeadAtSpeed(E$92,$A107,DWS_Fbase,DWS_CurveQ,DWS_CurveH)</f>
        <v>470.11169106050977</v>
      </c>
      <c r="F107" s="0" cm="1">
        <f ref="F107:F107" t="array">DWS_N*PO.ESP.Curve.HeadAtSpeed(F$92,$A107,DWS_Fbase,DWS_CurveQ,DWS_CurveH)</f>
        <v>281.015</v>
      </c>
      <c r="G107" s="0" cm="1">
        <f ref="G107:G107" t="array">DWS_N*PO.ESP.Curve.HeadAtSpeed(G$92,$A107,DWS_Fbase,DWS_CurveQ,DWS_CurveH)</f>
        <v>0</v>
      </c>
    </row>
    <row r="108">
      <c r="A108" s="0">
        <f>DWS_Fbase*(0.5+13*0.75/45)</f>
        <v>43</v>
      </c>
      <c r="B108" s="0" cm="1">
        <f ref="B108:B108" t="array">DWS_N*PO.ESP.Curve.HeadAtSpeed(B$92,$A108,DWS_Fbase,DWS_CurveQ,DWS_CurveH)</f>
        <v>517.6464190182112</v>
      </c>
      <c r="C108" s="0" cm="1">
        <f ref="C108:C108" t="array">DWS_N*PO.ESP.Curve.HeadAtSpeed(C$92,$A108,DWS_Fbase,DWS_CurveQ,DWS_CurveH)</f>
        <v>800.4098505551237</v>
      </c>
      <c r="D108" s="0" cm="1">
        <f ref="D108:D108" t="array">DWS_N*PO.ESP.Curve.HeadAtSpeed(D$92,$A108,DWS_Fbase,DWS_CurveQ,DWS_CurveH)</f>
        <v>675.0864685646624</v>
      </c>
      <c r="E108" s="0" cm="1">
        <f ref="E108:E108" t="array">DWS_N*PO.ESP.Curve.HeadAtSpeed(E$92,$A108,DWS_Fbase,DWS_CurveQ,DWS_CurveH)</f>
        <v>517.6464190182112</v>
      </c>
      <c r="F108" s="0" cm="1">
        <f ref="F108:F108" t="array">DWS_N*PO.ESP.Curve.HeadAtSpeed(F$92,$A108,DWS_Fbase,DWS_CurveQ,DWS_CurveH)</f>
        <v>329.3155957659052</v>
      </c>
      <c r="G108" s="0" cm="1">
        <f ref="G108:G108" t="array">DWS_N*PO.ESP.Curve.HeadAtSpeed(G$92,$A108,DWS_Fbase,DWS_CurveQ,DWS_CurveH)</f>
        <v>0</v>
      </c>
    </row>
    <row r="109">
      <c r="A109" s="0">
        <f>DWS_Fbase*(0.5+14*0.75/45)</f>
        <v>44</v>
      </c>
      <c r="B109" s="0" cm="1">
        <f ref="B109:B109" t="array">DWS_N*PO.ESP.Curve.HeadAtSpeed(B$92,$A109,DWS_Fbase,DWS_CurveQ,DWS_CurveH)</f>
        <v>566.2831803017218</v>
      </c>
      <c r="C109" s="0" cm="1">
        <f ref="C109:C109" t="array">DWS_N*PO.ESP.Curve.HeadAtSpeed(C$92,$A109,DWS_Fbase,DWS_CurveQ,DWS_CurveH)</f>
        <v>848.4890902495689</v>
      </c>
      <c r="D109" s="0" cm="1">
        <f ref="D109:D109" t="array">DWS_N*PO.ESP.Curve.HeadAtSpeed(D$92,$A109,DWS_Fbase,DWS_CurveQ,DWS_CurveH)</f>
        <v>723.4096281868334</v>
      </c>
      <c r="E109" s="0" cm="1">
        <f ref="E109:E109" t="array">DWS_N*PO.ESP.Curve.HeadAtSpeed(E$92,$A109,DWS_Fbase,DWS_CurveQ,DWS_CurveH)</f>
        <v>566.2831803017218</v>
      </c>
      <c r="F109" s="0" cm="1">
        <f ref="F109:F109" t="array">DWS_N*PO.ESP.Curve.HeadAtSpeed(F$92,$A109,DWS_Fbase,DWS_CurveQ,DWS_CurveH)</f>
        <v>378.58896668676596</v>
      </c>
      <c r="G109" s="0" cm="1">
        <f ref="G109:G109" t="array">DWS_N*PO.ESP.Curve.HeadAtSpeed(G$92,$A109,DWS_Fbase,DWS_CurveQ,DWS_CurveH)</f>
        <v>158.56718443843533</v>
      </c>
    </row>
    <row r="110">
      <c r="A110" s="0">
        <f>DWS_Fbase*(0.5+15*0.75/45)</f>
        <v>45</v>
      </c>
      <c r="B110" s="0" cm="1">
        <f ref="B110:B110" t="array">DWS_N*PO.ESP.Curve.HeadAtSpeed(B$92,$A110,DWS_Fbase,DWS_CurveQ,DWS_CurveH)</f>
        <v>616.0500000000001</v>
      </c>
      <c r="C110" s="0" cm="1">
        <f ref="C110:C110" t="array">DWS_N*PO.ESP.Curve.HeadAtSpeed(C$92,$A110,DWS_Fbase,DWS_CurveQ,DWS_CurveH)</f>
        <v>897.637336655487</v>
      </c>
      <c r="D110" s="0" cm="1">
        <f ref="D110:D110" t="array">DWS_N*PO.ESP.Curve.HeadAtSpeed(D$92,$A110,DWS_Fbase,DWS_CurveQ,DWS_CurveH)</f>
        <v>772.7550367122114</v>
      </c>
      <c r="E110" s="0" cm="1">
        <f ref="E110:E110" t="array">DWS_N*PO.ESP.Curve.HeadAtSpeed(E$92,$A110,DWS_Fbase,DWS_CurveQ,DWS_CurveH)</f>
        <v>616.0500000000001</v>
      </c>
      <c r="F110" s="0" cm="1">
        <f ref="F110:F110" t="array">DWS_N*PO.ESP.Curve.HeadAtSpeed(F$92,$A110,DWS_Fbase,DWS_CurveQ,DWS_CurveH)</f>
        <v>428.8435750826221</v>
      </c>
      <c r="G110" s="0" cm="1">
        <f ref="G110:G110" t="array">DWS_N*PO.ESP.Curve.HeadAtSpeed(G$92,$A110,DWS_Fbase,DWS_CurveQ,DWS_CurveH)</f>
        <v>208.4260853960112</v>
      </c>
    </row>
    <row r="111">
      <c r="A111" s="0">
        <f>DWS_Fbase*(0.5+16*0.75/45)</f>
        <v>46</v>
      </c>
      <c r="B111" s="0" cm="1">
        <f ref="B111:B111" t="array">DWS_N*PO.ESP.Curve.HeadAtSpeed(B$92,$A111,DWS_Fbase,DWS_CurveQ,DWS_CurveH)</f>
        <v>666.9632252370773</v>
      </c>
      <c r="C111" s="0" cm="1">
        <f ref="C111:C111" t="array">DWS_N*PO.ESP.Curve.HeadAtSpeed(C$92,$A111,DWS_Fbase,DWS_CurveQ,DWS_CurveH)</f>
        <v>947.8437254797913</v>
      </c>
      <c r="D111" s="0" cm="1">
        <f ref="D111:D111" t="array">DWS_N*PO.ESP.Curve.HeadAtSpeed(D$92,$A111,DWS_Fbase,DWS_CurveQ,DWS_CurveH)</f>
        <v>823.1435108558245</v>
      </c>
      <c r="E111" s="0" cm="1">
        <f ref="E111:E111" t="array">DWS_N*PO.ESP.Curve.HeadAtSpeed(E$92,$A111,DWS_Fbase,DWS_CurveQ,DWS_CurveH)</f>
        <v>666.9632252370773</v>
      </c>
      <c r="F111" s="0" cm="1">
        <f ref="F111:F111" t="array">DWS_N*PO.ESP.Curve.HeadAtSpeed(F$92,$A111,DWS_Fbase,DWS_CurveQ,DWS_CurveH)</f>
        <v>480.08714741959693</v>
      </c>
      <c r="G111" s="0" cm="1">
        <f ref="G111:G111" t="array">DWS_N*PO.ESP.Curve.HeadAtSpeed(G$92,$A111,DWS_Fbase,DWS_CurveQ,DWS_CurveH)</f>
        <v>259.95896028599003</v>
      </c>
    </row>
    <row r="112">
      <c r="A112" s="0">
        <f>DWS_Fbase*(0.5+17*0.75/45)</f>
        <v>47</v>
      </c>
      <c r="B112" s="0" cm="1">
        <f ref="B112:B112" t="array">DWS_N*PO.ESP.Curve.HeadAtSpeed(B$92,$A112,DWS_Fbase,DWS_CurveQ,DWS_CurveH)</f>
        <v>719.0016343578513</v>
      </c>
      <c r="C112" s="0" cm="1">
        <f ref="C112:C112" t="array">DWS_N*PO.ESP.Curve.HeadAtSpeed(C$92,$A112,DWS_Fbase,DWS_CurveQ,DWS_CurveH)</f>
        <v>999.0983170500838</v>
      </c>
      <c r="D112" s="0" cm="1">
        <f ref="D112:D112" t="array">DWS_N*PO.ESP.Curve.HeadAtSpeed(D$92,$A112,DWS_Fbase,DWS_CurveQ,DWS_CurveH)</f>
        <v>874.5940956973791</v>
      </c>
      <c r="E112" s="0" cm="1">
        <f ref="E112:E112" t="array">DWS_N*PO.ESP.Curve.HeadAtSpeed(E$92,$A112,DWS_Fbase,DWS_CurveQ,DWS_CurveH)</f>
        <v>719.0016343578513</v>
      </c>
      <c r="F112" s="0" cm="1">
        <f ref="F112:F112" t="array">DWS_N*PO.ESP.Curve.HeadAtSpeed(F$92,$A112,DWS_Fbase,DWS_CurveQ,DWS_CurveH)</f>
        <v>532.3269191405753</v>
      </c>
      <c r="G112" s="0" cm="1">
        <f ref="G112:G112" t="array">DWS_N*PO.ESP.Curve.HeadAtSpeed(G$92,$A112,DWS_Fbase,DWS_CurveQ,DWS_CurveH)</f>
        <v>312.90879671777856</v>
      </c>
    </row>
    <row r="113">
      <c r="A113" s="0">
        <f>DWS_Fbase*(0.5+18*0.75/45)</f>
        <v>48</v>
      </c>
      <c r="B113" s="0" cm="1">
        <f ref="B113:B113" t="array">DWS_N*PO.ESP.Curve.HeadAtSpeed(B$92,$A113,DWS_Fbase,DWS_CurveQ,DWS_CurveH)</f>
        <v>772.136918219504</v>
      </c>
      <c r="C113" s="0" cm="1">
        <f ref="C113:C113" t="array">DWS_N*PO.ESP.Curve.HeadAtSpeed(C$92,$A113,DWS_Fbase,DWS_CurveQ,DWS_CurveH)</f>
        <v>1051.392</v>
      </c>
      <c r="D113" s="0" cm="1">
        <f ref="D113:D113" t="array">DWS_N*PO.ESP.Curve.HeadAtSpeed(D$92,$A113,DWS_Fbase,DWS_CurveQ,DWS_CurveH)</f>
        <v>927.1242492266067</v>
      </c>
      <c r="E113" s="0" cm="1">
        <f ref="E113:E113" t="array">DWS_N*PO.ESP.Curve.HeadAtSpeed(E$92,$A113,DWS_Fbase,DWS_CurveQ,DWS_CurveH)</f>
        <v>772.136918219504</v>
      </c>
      <c r="F113" s="0" cm="1">
        <f ref="F113:F113" t="array">DWS_N*PO.ESP.Curve.HeadAtSpeed(F$92,$A113,DWS_Fbase,DWS_CurveQ,DWS_CurveH)</f>
        <v>585.5793074502541</v>
      </c>
      <c r="G113" s="0" cm="1">
        <f ref="G113:G113" t="array">DWS_N*PO.ESP.Curve.HeadAtSpeed(G$92,$A113,DWS_Fbase,DWS_CurveQ,DWS_CurveH)</f>
        <v>367.0400000000001</v>
      </c>
    </row>
    <row r="114">
      <c r="A114" s="0">
        <f>DWS_Fbase*(0.5+19*0.75/45)</f>
        <v>49</v>
      </c>
      <c r="B114" s="0" cm="1">
        <f ref="B114:B114" t="array">DWS_N*PO.ESP.Curve.HeadAtSpeed(B$92,$A114,DWS_Fbase,DWS_CurveQ,DWS_CurveH)</f>
        <v>826.3430786296504</v>
      </c>
      <c r="C114" s="0" cm="1">
        <f ref="C114:C114" t="array">DWS_N*PO.ESP.Curve.HeadAtSpeed(C$92,$A114,DWS_Fbase,DWS_CurveQ,DWS_CurveH)</f>
        <v>1104.719044276535</v>
      </c>
      <c r="D114" s="0" cm="1">
        <f ref="D114:D114" t="array">DWS_N*PO.ESP.Curve.HeadAtSpeed(D$92,$A114,DWS_Fbase,DWS_CurveQ,DWS_CurveH)</f>
        <v>980.7500042912188</v>
      </c>
      <c r="E114" s="0" cm="1">
        <f ref="E114:E114" t="array">DWS_N*PO.ESP.Curve.HeadAtSpeed(E$92,$A114,DWS_Fbase,DWS_CurveQ,DWS_CurveH)</f>
        <v>826.3430786296504</v>
      </c>
      <c r="F114" s="0" cm="1">
        <f ref="F114:F114" t="array">DWS_N*PO.ESP.Curve.HeadAtSpeed(F$92,$A114,DWS_Fbase,DWS_CurveQ,DWS_CurveH)</f>
        <v>639.874246165694</v>
      </c>
      <c r="G114" s="0" cm="1">
        <f ref="G114:G114" t="array">DWS_N*PO.ESP.Curve.HeadAtSpeed(G$92,$A114,DWS_Fbase,DWS_CurveQ,DWS_CurveH)</f>
        <v>422.17143483930533</v>
      </c>
    </row>
    <row r="115">
      <c r="A115" s="0">
        <f>DWS_Fbase*(0.5+20*0.75/45)</f>
        <v>49.99999999999999</v>
      </c>
      <c r="B115" s="0" cm="1">
        <f ref="B115:B115" t="array">DWS_N*PO.ESP.Curve.HeadAtSpeed(B$92,$A115,DWS_Fbase,DWS_CurveQ,DWS_CurveH)</f>
        <v>881.5961972512972</v>
      </c>
      <c r="C115" s="0" cm="1">
        <f ref="C115:C115" t="array">DWS_N*PO.ESP.Curve.HeadAtSpeed(C$92,$A115,DWS_Fbase,DWS_CurveQ,DWS_CurveH)</f>
        <v>1159.0845173420564</v>
      </c>
      <c r="D115" s="0" cm="1">
        <f ref="D115:D115" t="array">DWS_N*PO.ESP.Curve.HeadAtSpeed(D$92,$A115,DWS_Fbase,DWS_CurveQ,DWS_CurveH)</f>
        <v>1035.4861111111106</v>
      </c>
      <c r="E115" s="0" cm="1">
        <f ref="E115:E115" t="array">DWS_N*PO.ESP.Curve.HeadAtSpeed(E$92,$A115,DWS_Fbase,DWS_CurveQ,DWS_CurveH)</f>
        <v>881.5961972512972</v>
      </c>
      <c r="F115" s="0" cm="1">
        <f ref="F115:F115" t="array">DWS_N*PO.ESP.Curve.HeadAtSpeed(F$92,$A115,DWS_Fbase,DWS_CurveQ,DWS_CurveH)</f>
        <v>695.2405268421597</v>
      </c>
      <c r="G115" s="0" cm="1">
        <f ref="G115:G115" t="array">DWS_N*PO.ESP.Curve.HeadAtSpeed(G$92,$A115,DWS_Fbase,DWS_CurveQ,DWS_CurveH)</f>
        <v>478.274547304844</v>
      </c>
    </row>
    <row r="116">
      <c r="A116" s="0">
        <f>DWS_Fbase*(0.5+21*0.75/45)</f>
        <v>51</v>
      </c>
      <c r="B116" s="0" cm="1">
        <f ref="B116:B116" t="array">DWS_N*PO.ESP.Curve.HeadAtSpeed(B$92,$A116,DWS_Fbase,DWS_CurveQ,DWS_CurveH)</f>
        <v>937.874231695451</v>
      </c>
      <c r="C116" s="0" cm="1">
        <f ref="C116:C116" t="array">DWS_N*PO.ESP.Curve.HeadAtSpeed(C$92,$A116,DWS_Fbase,DWS_CurveQ,DWS_CurveH)</f>
        <v>1214.495623306771</v>
      </c>
      <c r="D116" s="0" cm="1">
        <f ref="D116:D116" t="array">DWS_N*PO.ESP.Curve.HeadAtSpeed(D$92,$A116,DWS_Fbase,DWS_CurveQ,DWS_CurveH)</f>
        <v>1091.341858931584</v>
      </c>
      <c r="E116" s="0" cm="1">
        <f ref="E116:E116" t="array">DWS_N*PO.ESP.Curve.HeadAtSpeed(E$92,$A116,DWS_Fbase,DWS_CurveQ,DWS_CurveH)</f>
        <v>937.874231695451</v>
      </c>
      <c r="F116" s="0" cm="1">
        <f ref="F116:F116" t="array">DWS_N*PO.ESP.Curve.HeadAtSpeed(F$92,$A116,DWS_Fbase,DWS_CurveQ,DWS_CurveH)</f>
        <v>751.7046828737205</v>
      </c>
      <c r="G116" s="0" cm="1">
        <f ref="G116:G116" t="array">DWS_N*PO.ESP.Curve.HeadAtSpeed(G$92,$A116,DWS_Fbase,DWS_CurveQ,DWS_CurveH)</f>
        <v>535.3568687101069</v>
      </c>
    </row>
    <row r="117">
      <c r="A117" s="0">
        <f>DWS_Fbase*(0.5+22*0.75/45)</f>
        <v>52</v>
      </c>
      <c r="B117" s="0" cm="1">
        <f ref="B117:B117" t="array">DWS_N*PO.ESP.Curve.HeadAtSpeed(B$92,$A117,DWS_Fbase,DWS_CurveQ,DWS_CurveH)</f>
        <v>995.1580357711225</v>
      </c>
      <c r="C117" s="0" cm="1">
        <f ref="C117:C117" t="array">DWS_N*PO.ESP.Curve.HeadAtSpeed(C$92,$A117,DWS_Fbase,DWS_CurveQ,DWS_CurveH)</f>
        <v>1270.9590121185604</v>
      </c>
      <c r="D117" s="0" cm="1">
        <f ref="D117:D117" t="array">DWS_N*PO.ESP.Curve.HeadAtSpeed(D$92,$A117,DWS_Fbase,DWS_CurveQ,DWS_CurveH)</f>
        <v>1148.3089371463968</v>
      </c>
      <c r="E117" s="0" cm="1">
        <f ref="E117:E117" t="array">DWS_N*PO.ESP.Curve.HeadAtSpeed(E$92,$A117,DWS_Fbase,DWS_CurveQ,DWS_CurveH)</f>
        <v>995.1580357711225</v>
      </c>
      <c r="F117" s="0" cm="1">
        <f ref="F117:F117" t="array">DWS_N*PO.ESP.Curve.HeadAtSpeed(F$92,$A117,DWS_Fbase,DWS_CurveQ,DWS_CurveH)</f>
        <v>809.2912066241311</v>
      </c>
      <c r="G117" s="0" cm="1">
        <f ref="G117:G117" t="array">DWS_N*PO.ESP.Curve.HeadAtSpeed(G$92,$A117,DWS_Fbase,DWS_CurveQ,DWS_CurveH)</f>
        <v>593.4253510367755</v>
      </c>
    </row>
    <row r="118">
      <c r="A118" s="0">
        <f>DWS_Fbase*(0.5+23*0.75/45)</f>
        <v>53</v>
      </c>
      <c r="B118" s="0" cm="1">
        <f ref="B118:B118" t="array">DWS_N*PO.ESP.Curve.HeadAtSpeed(B$92,$A118,DWS_Fbase,DWS_CurveQ,DWS_CurveH)</f>
        <v>1053.44969460239</v>
      </c>
      <c r="C118" s="0" cm="1">
        <f ref="C118:C118" t="array">DWS_N*PO.ESP.Curve.HeadAtSpeed(C$92,$A118,DWS_Fbase,DWS_CurveQ,DWS_CurveH)</f>
        <v>1328.4808318424468</v>
      </c>
      <c r="D118" s="0" cm="1">
        <f ref="D118:D118" t="array">DWS_N*PO.ESP.Curve.HeadAtSpeed(D$92,$A118,DWS_Fbase,DWS_CurveQ,DWS_CurveH)</f>
        <v>1206.3755206889346</v>
      </c>
      <c r="E118" s="0" cm="1">
        <f ref="E118:E118" t="array">DWS_N*PO.ESP.Curve.HeadAtSpeed(E$92,$A118,DWS_Fbase,DWS_CurveQ,DWS_CurveH)</f>
        <v>1053.44969460239</v>
      </c>
      <c r="F118" s="0" cm="1">
        <f ref="F118:F118" t="array">DWS_N*PO.ESP.Curve.HeadAtSpeed(F$92,$A118,DWS_Fbase,DWS_CurveQ,DWS_CurveH)</f>
        <v>868.0217394154693</v>
      </c>
      <c r="G118" s="0" cm="1">
        <f ref="G118:G118" t="array">DWS_N*PO.ESP.Curve.HeadAtSpeed(G$92,$A118,DWS_Fbase,DWS_CurveQ,DWS_CurveH)</f>
        <v>652.4864215886689</v>
      </c>
    </row>
    <row r="119">
      <c r="A119" s="0">
        <f>DWS_Fbase*(0.5+24*0.75/45)</f>
        <v>54</v>
      </c>
      <c r="B119" s="0" cm="1">
        <f ref="B119:B119" t="array">DWS_N*PO.ESP.Curve.HeadAtSpeed(B$92,$A119,DWS_Fbase,DWS_CurveQ,DWS_CurveH)</f>
        <v>1112.7672528655846</v>
      </c>
      <c r="C119" s="0" cm="1">
        <f ref="C119:C119" t="array">DWS_N*PO.ESP.Curve.HeadAtSpeed(C$92,$A119,DWS_Fbase,DWS_CurveQ,DWS_CurveH)</f>
        <v>1387.0667751312308</v>
      </c>
      <c r="D119" s="0" cm="1">
        <f ref="D119:D119" t="array">DWS_N*PO.ESP.Curve.HeadAtSpeed(D$92,$A119,DWS_Fbase,DWS_CurveQ,DWS_CurveH)</f>
        <v>1265.5306604234436</v>
      </c>
      <c r="E119" s="0" cm="1">
        <f ref="E119:E119" t="array">DWS_N*PO.ESP.Curve.HeadAtSpeed(E$92,$A119,DWS_Fbase,DWS_CurveQ,DWS_CurveH)</f>
        <v>1112.7672528655846</v>
      </c>
      <c r="F119" s="0" cm="1">
        <f ref="F119:F119" t="array">DWS_N*PO.ESP.Curve.HeadAtSpeed(F$92,$A119,DWS_Fbase,DWS_CurveQ,DWS_CurveH)</f>
        <v>927.8936876137614</v>
      </c>
      <c r="G119" s="0" cm="1">
        <f ref="G119:G119" t="array">DWS_N*PO.ESP.Curve.HeadAtSpeed(G$92,$A119,DWS_Fbase,DWS_CurveQ,DWS_CurveH)</f>
        <v>712.5471912429998</v>
      </c>
    </row>
    <row r="120">
      <c r="A120" s="0">
        <f>DWS_Fbase*(0.5+25*0.75/45)</f>
        <v>55.00000000000001</v>
      </c>
      <c r="B120" s="0" cm="1">
        <f ref="B120:B120" t="array">DWS_N*PO.ESP.Curve.HeadAtSpeed(B$92,$A120,DWS_Fbase,DWS_CurveQ,DWS_CurveH)</f>
        <v>1173.127921784435</v>
      </c>
      <c r="C120" s="0" cm="1">
        <f ref="C120:C120" t="array">DWS_N*PO.ESP.Curve.HeadAtSpeed(C$92,$A120,DWS_Fbase,DWS_CurveQ,DWS_CurveH)</f>
        <v>1446.7221206265976</v>
      </c>
      <c r="D120" s="0" cm="1">
        <f ref="D120:D120" t="array">DWS_N*PO.ESP.Curve.HeadAtSpeed(D$92,$A120,DWS_Fbase,DWS_CurveQ,DWS_CurveH)</f>
        <v>1325.764203514952</v>
      </c>
      <c r="E120" s="0" cm="1">
        <f ref="E120:E120" t="array">DWS_N*PO.ESP.Curve.HeadAtSpeed(E$92,$A120,DWS_Fbase,DWS_CurveQ,DWS_CurveH)</f>
        <v>1173.127921784435</v>
      </c>
      <c r="F120" s="0" cm="1">
        <f ref="F120:F120" t="array">DWS_N*PO.ESP.Curve.HeadAtSpeed(F$92,$A120,DWS_Fbase,DWS_CurveQ,DWS_CurveH)</f>
        <v>988.8824258068032</v>
      </c>
      <c r="G120" s="0" cm="1">
        <f ref="G120:G120" t="array">DWS_N*PO.ESP.Curve.HeadAtSpeed(G$92,$A120,DWS_Fbase,DWS_CurveQ,DWS_CurveH)</f>
        <v>773.6274897736306</v>
      </c>
    </row>
    <row r="121">
      <c r="A121" s="0">
        <f>DWS_Fbase*(0.5+26*0.75/45)</f>
        <v>56</v>
      </c>
      <c r="B121" s="0" cm="1">
        <f ref="B121:B121" t="array">DWS_N*PO.ESP.Curve.HeadAtSpeed(B$92,$A121,DWS_Fbase,DWS_CurveQ,DWS_CurveH)</f>
        <v>1234.5476832095478</v>
      </c>
      <c r="C121" s="0" cm="1">
        <f ref="C121:C121" t="array">DWS_N*PO.ESP.Curve.HeadAtSpeed(C$92,$A121,DWS_Fbase,DWS_CurveQ,DWS_CurveH)</f>
        <v>1507.4517699243988</v>
      </c>
      <c r="D121" s="0" cm="1">
        <f ref="D121:D121" t="array">DWS_N*PO.ESP.Curve.HeadAtSpeed(D$92,$A121,DWS_Fbase,DWS_CurveQ,DWS_CurveH)</f>
        <v>1387.0667223309854</v>
      </c>
      <c r="E121" s="0" cm="1">
        <f ref="E121:E121" t="array">DWS_N*PO.ESP.Curve.HeadAtSpeed(E$92,$A121,DWS_Fbase,DWS_CurveQ,DWS_CurveH)</f>
        <v>1234.5476832095478</v>
      </c>
      <c r="F121" s="0" cm="1">
        <f ref="F121:F121" t="array">DWS_N*PO.ESP.Curve.HeadAtSpeed(F$92,$A121,DWS_Fbase,DWS_CurveQ,DWS_CurveH)</f>
        <v>1050.964138687658</v>
      </c>
      <c r="G121" s="0" cm="1">
        <f ref="G121:G121" t="array">DWS_N*PO.ESP.Curve.HeadAtSpeed(G$92,$A121,DWS_Fbase,DWS_CurveQ,DWS_CurveH)</f>
        <v>835.7541174409065</v>
      </c>
    </row>
    <row r="122">
      <c r="A122" s="0">
        <f>DWS_Fbase*(0.5+27*0.75/45)</f>
        <v>57</v>
      </c>
      <c r="B122" s="0" cm="1">
        <f ref="B122:B122" t="array">DWS_N*PO.ESP.Curve.HeadAtSpeed(B$92,$A122,DWS_Fbase,DWS_CurveQ,DWS_CurveH)</f>
        <v>1297.0413974581536</v>
      </c>
      <c r="C122" s="0" cm="1">
        <f ref="C122:C122" t="array">DWS_N*PO.ESP.Curve.HeadAtSpeed(C$92,$A122,DWS_Fbase,DWS_CurveQ,DWS_CurveH)</f>
        <v>1569.260280648848</v>
      </c>
      <c r="D122" s="0" cm="1">
        <f ref="D122:D122" t="array">DWS_N*PO.ESP.Curve.HeadAtSpeed(D$92,$A122,DWS_Fbase,DWS_CurveQ,DWS_CurveH)</f>
        <v>1449.4294508273138</v>
      </c>
      <c r="E122" s="0" cm="1">
        <f ref="E122:E122" t="array">DWS_N*PO.ESP.Curve.HeadAtSpeed(E$92,$A122,DWS_Fbase,DWS_CurveQ,DWS_CurveH)</f>
        <v>1297.0413974581536</v>
      </c>
      <c r="F122" s="0" cm="1">
        <f ref="F122:F122" t="array">DWS_N*PO.ESP.Curve.HeadAtSpeed(F$92,$A122,DWS_Fbase,DWS_CurveQ,DWS_CurveH)</f>
        <v>1114.1166821989993</v>
      </c>
      <c r="G122" s="0" cm="1">
        <f ref="G122:G122" t="array">DWS_N*PO.ESP.Curve.HeadAtSpeed(G$92,$A122,DWS_Fbase,DWS_CurveQ,DWS_CurveH)</f>
        <v>898.9521311144873</v>
      </c>
    </row>
    <row r="123">
      <c r="A123" s="0">
        <f>DWS_Fbase*(0.5+28*0.75/45)</f>
        <v>58</v>
      </c>
      <c r="B123" s="0" cm="1">
        <f ref="B123:B123" t="array">DWS_N*PO.ESP.Curve.HeadAtSpeed(B$92,$A123,DWS_Fbase,DWS_CurveQ,DWS_CurveH)</f>
        <v>1360.6228999980178</v>
      </c>
      <c r="C123" s="0" cm="1">
        <f ref="C123:C123" t="array">DWS_N*PO.ESP.Curve.HeadAtSpeed(C$92,$A123,DWS_Fbase,DWS_CurveQ,DWS_CurveH)</f>
        <v>1632.1518961052468</v>
      </c>
      <c r="D123" s="0" cm="1">
        <f ref="D123:D123" t="array">DWS_N*PO.ESP.Curve.HeadAtSpeed(D$92,$A123,DWS_Fbase,DWS_CurveQ,DWS_CurveH)</f>
        <v>1512.844227514482</v>
      </c>
      <c r="E123" s="0" cm="1">
        <f ref="E123:E123" t="array">DWS_N*PO.ESP.Curve.HeadAtSpeed(E$92,$A123,DWS_Fbase,DWS_CurveQ,DWS_CurveH)</f>
        <v>1360.6228999980178</v>
      </c>
      <c r="F123" s="0" cm="1">
        <f ref="F123:F123" t="array">DWS_N*PO.ESP.Curve.HeadAtSpeed(F$92,$A123,DWS_Fbase,DWS_CurveQ,DWS_CurveH)</f>
        <v>1178.319439459868</v>
      </c>
      <c r="G123" s="0" cm="1">
        <f ref="G123:G123" t="array">DWS_N*PO.ESP.Curve.HeadAtSpeed(G$92,$A123,DWS_Fbase,DWS_CurveQ,DWS_CurveH)</f>
        <v>963.2448596040565</v>
      </c>
    </row>
    <row r="124">
      <c r="A124" s="0">
        <f>DWS_Fbase*(0.5+29*0.75/45)</f>
        <v>59</v>
      </c>
      <c r="B124" s="0" cm="1">
        <f ref="B124:B124" t="array">DWS_N*PO.ESP.Curve.HeadAtSpeed(B$92,$A124,DWS_Fbase,DWS_CurveQ,DWS_CurveH)</f>
        <v>1425.305088299093</v>
      </c>
      <c r="C124" s="0" cm="1">
        <f ref="C124:C124" t="array">DWS_N*PO.ESP.Curve.HeadAtSpeed(C$92,$A124,DWS_Fbase,DWS_CurveQ,DWS_CurveH)</f>
        <v>1696.130571917182</v>
      </c>
      <c r="D124" s="0" cm="1">
        <f ref="D124:D124" t="array">DWS_N*PO.ESP.Curve.HeadAtSpeed(D$92,$A124,DWS_Fbase,DWS_CurveQ,DWS_CurveH)</f>
        <v>1577.3034442243534</v>
      </c>
      <c r="E124" s="0" cm="1">
        <f ref="E124:E124" t="array">DWS_N*PO.ESP.Curve.HeadAtSpeed(E$92,$A124,DWS_Fbase,DWS_CurveQ,DWS_CurveH)</f>
        <v>1425.305088299093</v>
      </c>
      <c r="F124" s="0" cm="1">
        <f ref="F124:F124" t="array">DWS_N*PO.ESP.Curve.HeadAtSpeed(F$92,$A124,DWS_Fbase,DWS_CurveQ,DWS_CurveH)</f>
        <v>1243.5531913439447</v>
      </c>
      <c r="G124" s="0" cm="1">
        <f ref="G124:G124" t="array">DWS_N*PO.ESP.Curve.HeadAtSpeed(G$92,$A124,DWS_Fbase,DWS_CurveQ,DWS_CurveH)</f>
        <v>1028.6540501050822</v>
      </c>
    </row>
    <row r="125">
      <c r="A125" s="0">
        <f>DWS_Fbase*(0.5+30*0.75/45)</f>
        <v>60</v>
      </c>
      <c r="B125" s="0" cm="1">
        <f ref="B125:B125" t="array">DWS_N*PO.ESP.Curve.HeadAtSpeed(B$92,$A125,DWS_Fbase,DWS_CurveQ,DWS_CurveH)</f>
        <v>1491.1</v>
      </c>
      <c r="C125" s="0" cm="1">
        <f ref="C125:C125" t="array">DWS_N*PO.ESP.Curve.HeadAtSpeed(C$92,$A125,DWS_Fbase,DWS_CurveQ,DWS_CurveH)</f>
        <v>1761.2</v>
      </c>
      <c r="D125" s="0" cm="1">
        <f ref="D125:D125" t="array">DWS_N*PO.ESP.Curve.HeadAtSpeed(D$92,$A125,DWS_Fbase,DWS_CurveQ,DWS_CurveH)</f>
        <v>1642.8</v>
      </c>
      <c r="E125" s="0" cm="1">
        <f ref="E125:E125" t="array">DWS_N*PO.ESP.Curve.HeadAtSpeed(E$92,$A125,DWS_Fbase,DWS_CurveQ,DWS_CurveH)</f>
        <v>1491.1</v>
      </c>
      <c r="F125" s="0" cm="1">
        <f ref="F125:F125" t="array">DWS_N*PO.ESP.Curve.HeadAtSpeed(F$92,$A125,DWS_Fbase,DWS_CurveQ,DWS_CurveH)</f>
        <v>1309.8</v>
      </c>
      <c r="G125" s="0" cm="1">
        <f ref="G125:G125" t="array">DWS_N*PO.ESP.Curve.HeadAtSpeed(G$92,$A125,DWS_Fbase,DWS_CurveQ,DWS_CurveH)</f>
        <v>1095.2</v>
      </c>
    </row>
    <row r="126">
      <c r="A126" s="0">
        <f>DWS_Fbase*(0.5+31*0.75/45)</f>
        <v>61</v>
      </c>
      <c r="B126" s="0" cm="1">
        <f ref="B126:B126" t="array">DWS_N*PO.ESP.Curve.HeadAtSpeed(B$92,$A126,DWS_Fbase,DWS_CurveQ,DWS_CurveH)</f>
        <v>1558.0152848806838</v>
      </c>
      <c r="C126" s="0" cm="1">
        <f ref="C126:C126" t="array">DWS_N*PO.ESP.Curve.HeadAtSpeed(C$92,$A126,DWS_Fbase,DWS_CurveQ,DWS_CurveH)</f>
        <v>1827.362514011687</v>
      </c>
      <c r="D126" s="0" cm="1">
        <f ref="D126:D126" t="array">DWS_N*PO.ESP.Curve.HeadAtSpeed(D$92,$A126,DWS_Fbase,DWS_CurveQ,DWS_CurveH)</f>
        <v>1709.329378191328</v>
      </c>
      <c r="E126" s="0" cm="1">
        <f ref="E126:E126" t="array">DWS_N*PO.ESP.Curve.HeadAtSpeed(E$92,$A126,DWS_Fbase,DWS_CurveQ,DWS_CurveH)</f>
        <v>1558.0152848806838</v>
      </c>
      <c r="F126" s="0" cm="1">
        <f ref="F126:F126" t="array">DWS_N*PO.ESP.Curve.HeadAtSpeed(F$92,$A126,DWS_Fbase,DWS_CurveQ,DWS_CurveH)</f>
        <v>1377.0485890829086</v>
      </c>
      <c r="G126" s="0" cm="1">
        <f ref="G126:G126" t="array">DWS_N*PO.ESP.Curve.HeadAtSpeed(G$92,$A126,DWS_Fbase,DWS_CurveQ,DWS_CurveH)</f>
        <v>1162.8947070718934</v>
      </c>
    </row>
    <row r="127">
      <c r="A127" s="0">
        <f>DWS_Fbase*(0.5+32*0.75/45)</f>
        <v>61.99999999999999</v>
      </c>
      <c r="B127" s="0" cm="1">
        <f ref="B127:B127" t="array">DWS_N*PO.ESP.Curve.HeadAtSpeed(B$92,$A127,DWS_Fbase,DWS_CurveQ,DWS_CurveH)</f>
        <v>1626.0439373272397</v>
      </c>
      <c r="C127" s="0" cm="1">
        <f ref="C127:C127" t="array">DWS_N*PO.ESP.Curve.HeadAtSpeed(C$92,$A127,DWS_Fbase,DWS_CurveQ,DWS_CurveH)</f>
        <v>1894.6159044040558</v>
      </c>
      <c r="D127" s="0" cm="1">
        <f ref="D127:D127" t="array">DWS_N*PO.ESP.Curve.HeadAtSpeed(D$92,$A127,DWS_Fbase,DWS_CurveQ,DWS_CurveH)</f>
        <v>1776.895691537874</v>
      </c>
      <c r="E127" s="0" cm="1">
        <f ref="E127:E127" t="array">DWS_N*PO.ESP.Curve.HeadAtSpeed(E$92,$A127,DWS_Fbase,DWS_CurveQ,DWS_CurveH)</f>
        <v>1626.0439373272397</v>
      </c>
      <c r="F127" s="0" cm="1">
        <f ref="F127:F127" t="array">DWS_N*PO.ESP.Curve.HeadAtSpeed(F$92,$A127,DWS_Fbase,DWS_CurveQ,DWS_CurveH)</f>
        <v>1445.3099968806187</v>
      </c>
      <c r="G127" s="0" cm="1">
        <f ref="G127:G127" t="array">DWS_N*PO.ESP.Curve.HeadAtSpeed(G$92,$A127,DWS_Fbase,DWS_CurveQ,DWS_CurveH)</f>
        <v>1231.7219701481115</v>
      </c>
    </row>
    <row r="128">
      <c r="A128" s="0">
        <f>DWS_Fbase*(0.5+33*0.75/45)</f>
        <v>63</v>
      </c>
      <c r="B128" s="0" cm="1">
        <f ref="B128:B128" t="array">DWS_N*PO.ESP.Curve.HeadAtSpeed(B$92,$A128,DWS_Fbase,DWS_CurveQ,DWS_CurveH)</f>
        <v>1695.1759122595863</v>
      </c>
      <c r="C128" s="0" cm="1">
        <f ref="C128:C128" t="array">DWS_N*PO.ESP.Curve.HeadAtSpeed(C$92,$A128,DWS_Fbase,DWS_CurveQ,DWS_CurveH)</f>
        <v>1962.9570211869384</v>
      </c>
      <c r="D128" s="0" cm="1">
        <f ref="D128:D128" t="array">DWS_N*PO.ESP.Curve.HeadAtSpeed(D$92,$A128,DWS_Fbase,DWS_CurveQ,DWS_CurveH)</f>
        <v>1845.5048430637942</v>
      </c>
      <c r="E128" s="0" cm="1">
        <f ref="E128:E128" t="array">DWS_N*PO.ESP.Curve.HeadAtSpeed(E$92,$A128,DWS_Fbase,DWS_CurveQ,DWS_CurveH)</f>
        <v>1695.1759122595863</v>
      </c>
      <c r="F128" s="0" cm="1">
        <f ref="F128:F128" t="array">DWS_N*PO.ESP.Curve.HeadAtSpeed(F$92,$A128,DWS_Fbase,DWS_CurveQ,DWS_CurveH)</f>
        <v>1514.5998719559345</v>
      </c>
      <c r="G128" s="0" cm="1">
        <f ref="G128:G128" t="array">DWS_N*PO.ESP.Curve.HeadAtSpeed(G$92,$A128,DWS_Fbase,DWS_CurveQ,DWS_CurveH)</f>
        <v>1301.6598693045735</v>
      </c>
    </row>
    <row r="129">
      <c r="A129" s="0">
        <f>DWS_Fbase*(0.5+34*0.75/45)</f>
        <v>64</v>
      </c>
      <c r="B129" s="0" cm="1">
        <f ref="B129:B129" t="array">DWS_N*PO.ESP.Curve.HeadAtSpeed(B$92,$A129,DWS_Fbase,DWS_CurveQ,DWS_CurveH)</f>
        <v>1765.401792415146</v>
      </c>
      <c r="C129" s="0" cm="1">
        <f ref="C129:C129" t="array">DWS_N*PO.ESP.Curve.HeadAtSpeed(C$92,$A129,DWS_Fbase,DWS_CurveQ,DWS_CurveH)</f>
        <v>2032.3829112445499</v>
      </c>
      <c r="D129" s="0" cm="1">
        <f ref="D129:D129" t="array">DWS_N*PO.ESP.Curve.HeadAtSpeed(D$92,$A129,DWS_Fbase,DWS_CurveQ,DWS_CurveH)</f>
        <v>1915.162366854233</v>
      </c>
      <c r="E129" s="0" cm="1">
        <f ref="E129:E129" t="array">DWS_N*PO.ESP.Curve.HeadAtSpeed(E$92,$A129,DWS_Fbase,DWS_CurveQ,DWS_CurveH)</f>
        <v>1765.401792415146</v>
      </c>
      <c r="F129" s="0" cm="1">
        <f ref="F129:F129" t="array">DWS_N*PO.ESP.Curve.HeadAtSpeed(F$92,$A129,DWS_Fbase,DWS_CurveQ,DWS_CurveH)</f>
        <v>1584.93288483648</v>
      </c>
      <c r="G129" s="0" cm="1">
        <f ref="G129:G129" t="array">DWS_N*PO.ESP.Curve.HeadAtSpeed(G$92,$A129,DWS_Fbase,DWS_CurveQ,DWS_CurveH)</f>
        <v>1372.6878546124512</v>
      </c>
    </row>
    <row r="130">
      <c r="A130" s="0">
        <f>DWS_Fbase*(0.5+35*0.75/45)</f>
        <v>65.00000000000001</v>
      </c>
      <c r="B130" s="0" cm="1">
        <f ref="B130:B130" t="array">DWS_N*PO.ESP.Curve.HeadAtSpeed(B$92,$A130,DWS_Fbase,DWS_CurveQ,DWS_CurveH)</f>
        <v>1836.7127400551938</v>
      </c>
      <c r="C130" s="0" cm="1">
        <f ref="C130:C130" t="array">DWS_N*PO.ESP.Curve.HeadAtSpeed(C$92,$A130,DWS_Fbase,DWS_CurveQ,DWS_CurveH)</f>
        <v>2102.89080319131</v>
      </c>
      <c r="D130" s="0" cm="1">
        <f ref="D130:D130" t="array">DWS_N*PO.ESP.Curve.HeadAtSpeed(D$92,$A130,DWS_Fbase,DWS_CurveQ,DWS_CurveH)</f>
        <v>1985.873456435251</v>
      </c>
      <c r="E130" s="0" cm="1">
        <f ref="E130:E130" t="array">DWS_N*PO.ESP.Curve.HeadAtSpeed(E$92,$A130,DWS_Fbase,DWS_CurveQ,DWS_CurveH)</f>
        <v>1836.7127400551938</v>
      </c>
      <c r="F130" s="0" cm="1">
        <f ref="F130:F130" t="array">DWS_N*PO.ESP.Curve.HeadAtSpeed(F$92,$A130,DWS_Fbase,DWS_CurveQ,DWS_CurveH)</f>
        <v>1656.3228032481836</v>
      </c>
      <c r="G130" s="0" cm="1">
        <f ref="G130:G130" t="array">DWS_N*PO.ESP.Curve.HeadAtSpeed(G$92,$A130,DWS_Fbase,DWS_CurveQ,DWS_CurveH)</f>
        <v>1444.7866407539236</v>
      </c>
    </row>
    <row r="131">
      <c r="A131" s="0">
        <f>DWS_Fbase*(0.5+36*0.75/45)</f>
        <v>66</v>
      </c>
      <c r="B131" s="0" cm="1">
        <f ref="B131:B131" t="array">DWS_N*PO.ESP.Curve.HeadAtSpeed(B$92,$A131,DWS_Fbase,DWS_CurveQ,DWS_CurveH)</f>
        <v>1909.1004530615307</v>
      </c>
      <c r="C131" s="0" cm="1">
        <f ref="C131:C131" t="array">DWS_N*PO.ESP.Curve.HeadAtSpeed(C$92,$A131,DWS_Fbase,DWS_CurveQ,DWS_CurveH)</f>
        <v>2174.478093604398</v>
      </c>
      <c r="D131" s="0" cm="1">
        <f ref="D131:D131" t="array">DWS_N*PO.ESP.Curve.HeadAtSpeed(D$92,$A131,DWS_Fbase,DWS_CurveQ,DWS_CurveH)</f>
        <v>2057.6429905737514</v>
      </c>
      <c r="E131" s="0" cm="1">
        <f ref="E131:E131" t="array">DWS_N*PO.ESP.Curve.HeadAtSpeed(E$92,$A131,DWS_Fbase,DWS_CurveQ,DWS_CurveH)</f>
        <v>1909.1004530615307</v>
      </c>
      <c r="F131" s="0" cm="1">
        <f ref="F131:F131" t="array">DWS_N*PO.ESP.Curve.HeadAtSpeed(F$92,$A131,DWS_Fbase,DWS_CurveQ,DWS_CurveH)</f>
        <v>1728.7825605093378</v>
      </c>
      <c r="G131" s="0" cm="1">
        <f ref="G131:G131" t="array">DWS_N*PO.ESP.Curve.HeadAtSpeed(G$92,$A131,DWS_Fbase,DWS_CurveQ,DWS_CurveH)</f>
        <v>1517.9381112183069</v>
      </c>
    </row>
    <row r="132">
      <c r="A132" s="0">
        <f>DWS_Fbase*(0.5+37*0.75/45)</f>
        <v>67</v>
      </c>
      <c r="B132" s="0" cm="1">
        <f ref="B132:B132" t="array">DWS_N*PO.ESP.Curve.HeadAtSpeed(B$92,$A132,DWS_Fbase,DWS_CurveQ,DWS_CurveH)</f>
        <v>1982.557124964809</v>
      </c>
      <c r="C132" s="0" cm="1">
        <f ref="C132:C132" t="array">DWS_N*PO.ESP.Curve.HeadAtSpeed(C$92,$A132,DWS_Fbase,DWS_CurveQ,DWS_CurveH)</f>
        <v>2247.142334489223</v>
      </c>
      <c r="D132" s="0" cm="1">
        <f ref="D132:D132" t="array">DWS_N*PO.ESP.Curve.HeadAtSpeed(D$92,$A132,DWS_Fbase,DWS_CurveQ,DWS_CurveH)</f>
        <v>2130.475556766974</v>
      </c>
      <c r="E132" s="0" cm="1">
        <f ref="E132:E132" t="array">DWS_N*PO.ESP.Curve.HeadAtSpeed(E$92,$A132,DWS_Fbase,DWS_CurveQ,DWS_CurveH)</f>
        <v>1982.557124964809</v>
      </c>
      <c r="F132" s="0" cm="1">
        <f ref="F132:F132" t="array">DWS_N*PO.ESP.Curve.HeadAtSpeed(F$92,$A132,DWS_Fbase,DWS_CurveQ,DWS_CurveH)</f>
        <v>1802.3243177998334</v>
      </c>
      <c r="G132" s="0" cm="1">
        <f ref="G132:G132" t="array">DWS_N*PO.ESP.Curve.HeadAtSpeed(G$92,$A132,DWS_Fbase,DWS_CurveQ,DWS_CurveH)</f>
        <v>1592.1252310776483</v>
      </c>
    </row>
    <row r="133">
      <c r="A133" s="0">
        <f>DWS_Fbase*(0.5+38*0.75/45)</f>
        <v>68</v>
      </c>
      <c r="B133" s="0" cm="1">
        <f ref="B133:B133" t="array">DWS_N*PO.ESP.Curve.HeadAtSpeed(B$92,$A133,DWS_Fbase,DWS_CurveQ,DWS_CurveH)</f>
        <v>2057.0754084997584</v>
      </c>
      <c r="C133" s="0" cm="1">
        <f ref="C133:C133" t="array">DWS_N*PO.ESP.Curve.HeadAtSpeed(C$92,$A133,DWS_Fbase,DWS_CurveQ,DWS_CurveH)</f>
        <v>2320.8812218508765</v>
      </c>
      <c r="D133" s="0" cm="1">
        <f ref="D133:D133" t="array">DWS_N*PO.ESP.Curve.HeadAtSpeed(D$92,$A133,DWS_Fbase,DWS_CurveQ,DWS_CurveH)</f>
        <v>2204.3754726593793</v>
      </c>
      <c r="E133" s="0" cm="1">
        <f ref="E133:E133" t="array">DWS_N*PO.ESP.Curve.HeadAtSpeed(E$92,$A133,DWS_Fbase,DWS_CurveQ,DWS_CurveH)</f>
        <v>2057.0754084997584</v>
      </c>
      <c r="F133" s="0" cm="1">
        <f ref="F133:F133" t="array">DWS_N*PO.ESP.Curve.HeadAtSpeed(F$92,$A133,DWS_Fbase,DWS_CurveQ,DWS_CurveH)</f>
        <v>1876.9595209360355</v>
      </c>
      <c r="G133" s="0" cm="1">
        <f ref="G133:G133" t="array">DWS_N*PO.ESP.Curve.HeadAtSpeed(G$92,$A133,DWS_Fbase,DWS_CurveQ,DWS_CurveH)</f>
        <v>1667.3319674585796</v>
      </c>
    </row>
    <row r="134">
      <c r="A134" s="0">
        <f>DWS_Fbase*(0.5+39*0.75/45)</f>
        <v>69</v>
      </c>
      <c r="B134" s="0" cm="1">
        <f ref="B134:B134" t="array">DWS_N*PO.ESP.Curve.HeadAtSpeed(B$92,$A134,DWS_Fbase,DWS_CurveQ,DWS_CurveH)</f>
        <v>2132.64838232953</v>
      </c>
      <c r="C134" s="0" cm="1">
        <f ref="C134:C134" t="array">DWS_N*PO.ESP.Curve.HeadAtSpeed(C$92,$A134,DWS_Fbase,DWS_CurveQ,DWS_CurveH)</f>
        <v>2395.6925852593713</v>
      </c>
      <c r="D134" s="0" cm="1">
        <f ref="D134:D134" t="array">DWS_N*PO.ESP.Curve.HeadAtSpeed(D$92,$A134,DWS_Fbase,DWS_CurveQ,DWS_CurveH)</f>
        <v>2279.3468055971966</v>
      </c>
      <c r="E134" s="0" cm="1">
        <f ref="E134:E134" t="array">DWS_N*PO.ESP.Curve.HeadAtSpeed(E$92,$A134,DWS_Fbase,DWS_CurveQ,DWS_CurveH)</f>
        <v>2132.64838232953</v>
      </c>
      <c r="F134" s="0" cm="1">
        <f ref="F134:F134" t="array">DWS_N*PO.ESP.Curve.HeadAtSpeed(F$92,$A134,DWS_Fbase,DWS_CurveQ,DWS_CurveH)</f>
        <v>1952.698952208724</v>
      </c>
      <c r="G134" s="0" cm="1">
        <f ref="G134:G134" t="array">DWS_N*PO.ESP.Curve.HeadAtSpeed(G$92,$A134,DWS_Fbase,DWS_CurveQ,DWS_CurveH)</f>
        <v>1743.5435986515838</v>
      </c>
    </row>
    <row r="135">
      <c r="A135" s="0">
        <f>DWS_Fbase*(0.5+40*0.75/45)</f>
        <v>69.99999999999999</v>
      </c>
      <c r="B135" s="0" cm="1">
        <f ref="B135:B135" t="array">DWS_N*PO.ESP.Curve.HeadAtSpeed(B$92,$A135,DWS_Fbase,DWS_CurveQ,DWS_CurveH)</f>
        <v>2209.2695206222375</v>
      </c>
      <c r="C135" s="0" cm="1">
        <f ref="C135:C135" t="array">DWS_N*PO.ESP.Curve.HeadAtSpeed(C$92,$A135,DWS_Fbase,DWS_CurveQ,DWS_CurveH)</f>
        <v>2471.5743783092903</v>
      </c>
      <c r="D135" s="0" cm="1">
        <f ref="D135:D135" t="array">DWS_N*PO.ESP.Curve.HeadAtSpeed(D$92,$A135,DWS_Fbase,DWS_CurveQ,DWS_CurveH)</f>
        <v>2355.393390506872</v>
      </c>
      <c r="E135" s="0" cm="1">
        <f ref="E135:E135" t="array">DWS_N*PO.ESP.Curve.HeadAtSpeed(E$92,$A135,DWS_Fbase,DWS_CurveQ,DWS_CurveH)</f>
        <v>2209.2695206222375</v>
      </c>
      <c r="F135" s="0" cm="1">
        <f ref="F135:F135" t="array">DWS_N*PO.ESP.Curve.HeadAtSpeed(F$92,$A135,DWS_Fbase,DWS_CurveQ,DWS_CurveH)</f>
        <v>2029.5527777777766</v>
      </c>
      <c r="G135" s="0" cm="1">
        <f ref="G135:G135" t="array">DWS_N*PO.ESP.Curve.HeadAtSpeed(G$92,$A135,DWS_Fbase,DWS_CurveQ,DWS_CurveH)</f>
        <v>1820.7586749922277</v>
      </c>
    </row>
    <row r="136">
      <c r="A136" s="0">
        <f>DWS_Fbase*(0.5+41*0.75/45)</f>
        <v>71</v>
      </c>
      <c r="B136" s="0" cm="1">
        <f ref="B136:B136" t="array">DWS_N*PO.ESP.Curve.HeadAtSpeed(B$92,$A136,DWS_Fbase,DWS_CurveQ,DWS_CurveH)</f>
        <v>2286.9326651984975</v>
      </c>
      <c r="C136" s="0" cm="1">
        <f ref="C136:C136" t="array">DWS_N*PO.ESP.Curve.HeadAtSpeed(C$92,$A136,DWS_Fbase,DWS_CurveQ,DWS_CurveH)</f>
        <v>2548.524669885665</v>
      </c>
      <c r="D136" s="0" cm="1">
        <f ref="D136:D136" t="array">DWS_N*PO.ESP.Curve.HeadAtSpeed(D$92,$A136,DWS_Fbase,DWS_CurveQ,DWS_CurveH)</f>
        <v>2432.518846262659</v>
      </c>
      <c r="E136" s="0" cm="1">
        <f ref="E136:E136" t="array">DWS_N*PO.ESP.Curve.HeadAtSpeed(E$92,$A136,DWS_Fbase,DWS_CurveQ,DWS_CurveH)</f>
        <v>2286.9326651984975</v>
      </c>
      <c r="F136" s="0" cm="1">
        <f ref="F136:F136" t="array">DWS_N*PO.ESP.Curve.HeadAtSpeed(F$92,$A136,DWS_Fbase,DWS_CurveQ,DWS_CurveH)</f>
        <v>2107.5274993880835</v>
      </c>
      <c r="G136" s="0" cm="1">
        <f ref="G136:G136" t="array">DWS_N*PO.ESP.Curve.HeadAtSpeed(G$92,$A136,DWS_Fbase,DWS_CurveQ,DWS_CurveH)</f>
        <v>1898.9905985568198</v>
      </c>
    </row>
    <row r="137">
      <c r="A137" s="0">
        <f>DWS_Fbase*(0.5+42*0.75/45)</f>
        <v>72</v>
      </c>
      <c r="B137" s="0" cm="1">
        <f ref="B137:B137" t="array">DWS_N*PO.ESP.Curve.HeadAtSpeed(B$92,$A137,DWS_Fbase,DWS_CurveQ,DWS_CurveH)</f>
        <v>2365.6319999999996</v>
      </c>
      <c r="C137" s="0" cm="1">
        <f ref="C137:C137" t="array">DWS_N*PO.ESP.Curve.HeadAtSpeed(C$92,$A137,DWS_Fbase,DWS_CurveQ,DWS_CurveH)</f>
        <v>2626.5416361576877</v>
      </c>
      <c r="D137" s="0" cm="1">
        <f ref="D137:D137" t="array">DWS_N*PO.ESP.Curve.HeadAtSpeed(D$92,$A137,DWS_Fbase,DWS_CurveQ,DWS_CurveH)</f>
        <v>2510.7265906902367</v>
      </c>
      <c r="E137" s="0" cm="1">
        <f ref="E137:E137" t="array">DWS_N*PO.ESP.Curve.HeadAtSpeed(E$92,$A137,DWS_Fbase,DWS_CurveQ,DWS_CurveH)</f>
        <v>2365.6319999999996</v>
      </c>
      <c r="F137" s="0" cm="1">
        <f ref="F137:F137" t="array">DWS_N*PO.ESP.Curve.HeadAtSpeed(F$92,$A137,DWS_Fbase,DWS_CurveQ,DWS_CurveH)</f>
        <v>2186.617062641774</v>
      </c>
      <c r="G137" s="0" cm="1">
        <f ref="G137:G137" t="array">DWS_N*PO.ESP.Curve.HeadAtSpeed(G$92,$A137,DWS_Fbase,DWS_CurveQ,DWS_CurveH)</f>
        <v>1978.2528939832612</v>
      </c>
    </row>
    <row r="138">
      <c r="A138" s="0">
        <f>DWS_Fbase*(0.5+43*0.75/45)</f>
        <v>73</v>
      </c>
      <c r="B138" s="0" cm="1">
        <f ref="B138:B138" t="array">DWS_N*PO.ESP.Curve.HeadAtSpeed(B$92,$A138,DWS_Fbase,DWS_CurveQ,DWS_CurveH)</f>
        <v>2445.363798052305</v>
      </c>
      <c r="C138" s="0" cm="1">
        <f ref="C138:C138" t="array">DWS_N*PO.ESP.Curve.HeadAtSpeed(C$92,$A138,DWS_Fbase,DWS_CurveQ,DWS_CurveH)</f>
        <v>2705.6235532304886</v>
      </c>
      <c r="D138" s="0" cm="1">
        <f ref="D138:D138" t="array">DWS_N*PO.ESP.Curve.HeadAtSpeed(D$92,$A138,DWS_Fbase,DWS_CurveQ,DWS_CurveH)</f>
        <v>2590.01985433717</v>
      </c>
      <c r="E138" s="0" cm="1">
        <f ref="E138:E138" t="array">DWS_N*PO.ESP.Curve.HeadAtSpeed(E$92,$A138,DWS_Fbase,DWS_CurveQ,DWS_CurveH)</f>
        <v>2445.363798052305</v>
      </c>
      <c r="F138" s="0" cm="1">
        <f ref="F138:F138" t="array">DWS_N*PO.ESP.Curve.HeadAtSpeed(F$92,$A138,DWS_Fbase,DWS_CurveQ,DWS_CurveH)</f>
        <v>2266.8127379186053</v>
      </c>
      <c r="G138" s="0" cm="1">
        <f ref="G138:G138" t="array">DWS_N*PO.ESP.Curve.HeadAtSpeed(G$92,$A138,DWS_Fbase,DWS_CurveQ,DWS_CurveH)</f>
        <v>2058.558344833407</v>
      </c>
    </row>
    <row r="139">
      <c r="A139" s="0">
        <f>DWS_Fbase*(0.5+44*0.75/45)</f>
        <v>74</v>
      </c>
      <c r="B139" s="0" cm="1">
        <f ref="B139:B139" t="array">DWS_N*PO.ESP.Curve.HeadAtSpeed(B$92,$A139,DWS_Fbase,DWS_CurveQ,DWS_CurveH)</f>
        <v>2526.1315197249533</v>
      </c>
      <c r="C139" s="0" cm="1">
        <f ref="C139:C139" t="array">DWS_N*PO.ESP.Curve.HeadAtSpeed(C$92,$A139,DWS_Fbase,DWS_CurveQ,DWS_CurveH)</f>
        <v>2785.768790392705</v>
      </c>
      <c r="D139" s="0" cm="1">
        <f ref="D139:D139" t="array">DWS_N*PO.ESP.Curve.HeadAtSpeed(D$92,$A139,DWS_Fbase,DWS_CurveQ,DWS_CurveH)</f>
        <v>2670.4016931268284</v>
      </c>
      <c r="E139" s="0" cm="1">
        <f ref="E139:E139" t="array">DWS_N*PO.ESP.Curve.HeadAtSpeed(E$92,$A139,DWS_Fbase,DWS_CurveQ,DWS_CurveH)</f>
        <v>2526.1315197249533</v>
      </c>
      <c r="F139" s="0" cm="1">
        <f ref="F139:F139" t="array">DWS_N*PO.ESP.Curve.HeadAtSpeed(F$92,$A139,DWS_Fbase,DWS_CurveQ,DWS_CurveH)</f>
        <v>2348.1062674697014</v>
      </c>
      <c r="G139" s="0" cm="1">
        <f ref="G139:G139" t="array">DWS_N*PO.ESP.Curve.HeadAtSpeed(G$92,$A139,DWS_Fbase,DWS_CurveQ,DWS_CurveH)</f>
        <v>2139.919043665768</v>
      </c>
    </row>
    <row r="140">
      <c r="A140" s="0">
        <f>DWS_Fbase*(0.5+45*0.75/45)</f>
        <v>75</v>
      </c>
      <c r="B140" s="0" cm="1">
        <f ref="B140:B140" t="array">DWS_N*PO.ESP.Curve.HeadAtSpeed(B$92,$A140,DWS_Fbase,DWS_CurveQ,DWS_CurveH)</f>
        <v>2607.9401640196274</v>
      </c>
      <c r="C140" s="0" cm="1">
        <f ref="C140:C140" t="array">DWS_N*PO.ESP.Curve.HeadAtSpeed(C$92,$A140,DWS_Fbase,DWS_CurveQ,DWS_CurveH)</f>
        <v>2866.9758039042426</v>
      </c>
      <c r="D140" s="0" cm="1">
        <f ref="D140:D140" t="array">DWS_N*PO.ESP.Curve.HeadAtSpeed(D$92,$A140,DWS_Fbase,DWS_CurveQ,DWS_CurveH)</f>
        <v>2751.875</v>
      </c>
      <c r="E140" s="0" cm="1">
        <f ref="E140:E140" t="array">DWS_N*PO.ESP.Curve.HeadAtSpeed(E$92,$A140,DWS_Fbase,DWS_CurveQ,DWS_CurveH)</f>
        <v>2607.9401640196274</v>
      </c>
      <c r="F140" s="0" cm="1">
        <f ref="F140:F140" t="array">DWS_N*PO.ESP.Curve.HeadAtSpeed(F$92,$A140,DWS_Fbase,DWS_CurveQ,DWS_CurveH)</f>
        <v>2430.4898339594556</v>
      </c>
      <c r="G140" s="0" cm="1">
        <f ref="G140:G140" t="array">DWS_N*PO.ESP.Curve.HeadAtSpeed(G$92,$A140,DWS_Fbase,DWS_CurveQ,DWS_CurveH)</f>
        <v>2222.3464381024014</v>
      </c>
    </row>
    <row r="142">
      <c r="A142" s="0" t="s">
        <v>204</v>
      </c>
      <c r="B142" s="0">
        <f>COUNTIF(B$95:B$140,"&lt;"&amp;B$93)</f>
        <v>30</v>
      </c>
      <c r="C142" s="0">
        <f>COUNTIF(C$95:C$140,"&lt;"&amp;C$93)</f>
        <v>17</v>
      </c>
      <c r="D142" s="0">
        <f>COUNTIF(D$95:D$140,"&lt;"&amp;D$93)</f>
        <v>24</v>
      </c>
      <c r="E142" s="0">
        <f>COUNTIF(E$95:E$140,"&lt;"&amp;E$93)</f>
        <v>30</v>
      </c>
      <c r="F142" s="0">
        <f>COUNTIF(F$95:F$140,"&lt;"&amp;F$93)</f>
        <v>36</v>
      </c>
      <c r="G142" s="0">
        <f>COUNTIF(G$95:G$140,"&lt;"&amp;G$93)</f>
        <v>42</v>
      </c>
    </row>
    <row r="143">
      <c r="A143" s="0" t="s">
        <v>205</v>
      </c>
      <c r="B143" s="21">
        <f>IF(OR(B$142&lt;1,B$142&gt;45),NA(),INDEX($A$95:$A$140,B$142)+(B$93-INDEX(B$95:B$140,B$142))/(INDEX(B$95:B$140,B$142+1)-INDEX(B$95:B$140,B$142))*(INDEX($A$95:$A$140,B$142+1)-INDEX($A$95:$A$140,B$142)))</f>
        <v>59.49134083372292</v>
      </c>
      <c r="C143" s="21">
        <f>IF(OR(C$142&lt;1,C$142&gt;45),NA(),INDEX($A$95:$A$140,C$142)+(C$93-INDEX(C$95:C$140,C$142))/(INDEX(C$95:C$140,C$142+1)-INDEX(C$95:C$140,C$142))*(INDEX($A$95:$A$140,C$142+1)-INDEX($A$95:$A$140,C$142)))</f>
        <v>46.457925409740426</v>
      </c>
      <c r="D143" s="21">
        <f>IF(OR(D$142&lt;1,D$142&gt;45),NA(),INDEX($A$95:$A$140,D$142)+(D$93-INDEX(D$95:D$140,D$142))/(INDEX(D$95:D$140,D$142+1)-INDEX(D$95:D$140,D$142))*(INDEX($A$95:$A$140,D$142+1)-INDEX($A$95:$A$140,D$142)))</f>
        <v>53.13648606462337</v>
      </c>
      <c r="E143" s="21">
        <f>IF(OR(E$142&lt;1,E$142&gt;45),NA(),INDEX($A$95:$A$140,E$142)+(E$93-INDEX(E$95:E$140,E$142))/(INDEX(E$95:E$140,E$142+1)-INDEX(E$95:E$140,E$142))*(INDEX($A$95:$A$140,E$142+1)-INDEX($A$95:$A$140,E$142)))</f>
        <v>59.49134083372292</v>
      </c>
      <c r="F143" s="21">
        <f>IF(OR(F$142&lt;1,F$142&gt;45),NA(),INDEX($A$95:$A$140,F$142)+(F$93-INDEX(F$95:F$140,F$142))/(INDEX(F$95:F$140,F$142+1)-INDEX(F$95:F$140,F$142))*(INDEX($A$95:$A$140,F$142+1)-INDEX($A$95:$A$140,F$142)))</f>
        <v>65.61469581696802</v>
      </c>
      <c r="G143" s="21">
        <f>IF(OR(G$142&lt;1,G$142&gt;45),NA(),INDEX($A$95:$A$140,G$142)+(G$93-INDEX(G$95:G$140,G$142))/(INDEX(G$95:G$140,G$142+1)-INDEX(G$95:G$140,G$142))*(INDEX($A$95:$A$140,G$142+1)-INDEX($A$95:$A$140,G$142)))</f>
        <v>71.56962497275147</v>
      </c>
    </row>
    <row r="145">
      <c r="A145" s="7" t="s">
        <v>206</v>
      </c>
      <c r="B145" s="7"/>
      <c r="C145" s="7"/>
      <c r="D145" s="7"/>
      <c r="E145" s="7"/>
    </row>
    <row r="146">
      <c r="A146" s="1" t="s">
        <v>92</v>
      </c>
      <c r="B146" s="1" t="s">
        <v>207</v>
      </c>
      <c r="C146" s="1" t="s">
        <v>159</v>
      </c>
      <c r="D146" s="1" t="s">
        <v>95</v>
      </c>
      <c r="E146" s="1" t="s">
        <v>197</v>
      </c>
    </row>
    <row r="147">
      <c r="A147" s="0" cm="1">
        <f ref="A147:A147" t="array">PO.ESP.Affinity.Rate(INDEX(DWS_CurveQ,1),DWS_F,DWS_Fbase)</f>
        <v>0</v>
      </c>
      <c r="B147" s="0" cm="1">
        <f ref="B147:B147" t="array">DWS_N*PO.ESP.Affinity.Head(INDEX(DWS_CurveH,1),DWS_F,DWS_Fbase)</f>
        <v>1891.516271163783</v>
      </c>
      <c r="C147" s="0" cm="1">
        <f ref="C147:C147" t="array">DWS_N*DWS_SG*PO.ESP.Affinity.Power(INDEX(DWS_CurveP,1),DWS_F,DWS_Fbase)</f>
        <v>30.873296903323304</v>
      </c>
      <c r="D147" s="0">
        <f>INDEX(DWS_CurveEff,1)</f>
        <v>0</v>
      </c>
      <c r="E147" s="0" cm="1">
        <f t="array" ref="E147">DWS_Hst+DWS_Kq*A147+PO.ESP.System.Hfric(A147,DWS_FlowID,DWS_FlowL,DWS_SG)</f>
        <v>-0.6915887850467328</v>
      </c>
    </row>
    <row r="148">
      <c r="A148" s="0" cm="1">
        <f ref="A148:A148" t="array">PO.ESP.Affinity.Rate(INDEX(DWS_CurveQ,2),DWS_F,DWS_Fbase)</f>
        <v>495.7611736143577</v>
      </c>
      <c r="B148" s="0" cm="1">
        <f ref="B148:B148" t="array">DWS_N*PO.ESP.Affinity.Head(INDEX(DWS_CurveH,2),DWS_F,DWS_Fbase)</f>
        <v>1898.791333745182</v>
      </c>
      <c r="C148" s="0" cm="1">
        <f ref="C148:C148" t="array">DWS_N*DWS_SG*PO.ESP.Affinity.Power(INDEX(DWS_CurveP,2),DWS_F,DWS_Fbase)</f>
        <v>35.65865792333842</v>
      </c>
      <c r="D148" s="0">
        <f>INDEX(DWS_CurveEff,2)</f>
        <v>0.20721828459845096</v>
      </c>
      <c r="E148" s="0" cm="1">
        <f t="array" ref="E148">DWS_Hst+DWS_Kq*A148+PO.ESP.System.Hfric(A148,DWS_FlowID,DWS_FlowL,DWS_SG)</f>
        <v>240.1619305510763</v>
      </c>
    </row>
    <row r="149">
      <c r="A149" s="0" cm="1">
        <f ref="A149:A149" t="array">PO.ESP.Affinity.Rate(INDEX(DWS_CurveQ,3),DWS_F,DWS_Fbase)</f>
        <v>991.5223472287154</v>
      </c>
      <c r="B149" s="0" cm="1">
        <f ref="B149:B149" t="array">DWS_N*PO.ESP.Affinity.Head(INDEX(DWS_CurveH,3),DWS_F,DWS_Fbase)</f>
        <v>1873.328614710285</v>
      </c>
      <c r="C149" s="0" cm="1">
        <f ref="C149:C149" t="array">DWS_N*DWS_SG*PO.ESP.Affinity.Power(INDEX(DWS_CurveP,3),DWS_F,DWS_Fbase)</f>
        <v>38.707395992541585</v>
      </c>
      <c r="D149" s="0">
        <f>INDEX(DWS_CurveEff,3)</f>
        <v>0.37667416489618843</v>
      </c>
      <c r="E149" s="0" cm="1">
        <f t="array" ref="E149">DWS_Hst+DWS_Kq*A149+PO.ESP.System.Hfric(A149,DWS_FlowID,DWS_FlowL,DWS_SG)</f>
        <v>481.0775435141724</v>
      </c>
    </row>
    <row r="150">
      <c r="A150" s="0" cm="1">
        <f ref="A150:A150" t="array">PO.ESP.Affinity.Rate(INDEX(DWS_CurveQ,4),DWS_F,DWS_Fbase)</f>
        <v>1487.2835208430731</v>
      </c>
      <c r="B150" s="0" cm="1">
        <f ref="B150:B150" t="array">DWS_N*PO.ESP.Affinity.Head(INDEX(DWS_CurveH,4),DWS_F,DWS_Fbase)</f>
        <v>1818.7656453497912</v>
      </c>
      <c r="C150" s="0" cm="1">
        <f ref="C150:C150" t="array">DWS_N*DWS_SG*PO.ESP.Affinity.Power(INDEX(DWS_CurveP,4),DWS_F,DWS_Fbase)</f>
        <v>41.71754244061562</v>
      </c>
      <c r="D150" s="0">
        <f>INDEX(DWS_CurveEff,4)</f>
        <v>0.5089734254387932</v>
      </c>
      <c r="E150" s="0" cm="1">
        <f t="array" ref="E150">DWS_Hst+DWS_Kq*A150+PO.ESP.System.Hfric(A150,DWS_FlowID,DWS_FlowL,DWS_SG)</f>
        <v>722.0481945123357</v>
      </c>
    </row>
    <row r="151">
      <c r="A151" s="0" cm="1">
        <f ref="A151:A151" t="array">PO.ESP.Affinity.Rate(INDEX(DWS_CurveQ,5),DWS_F,DWS_Fbase)</f>
        <v>1983.0446944574308</v>
      </c>
      <c r="B151" s="0" cm="1">
        <f ref="B151:B151" t="array">DWS_N*PO.ESP.Affinity.Head(INDEX(DWS_CurveH,5),DWS_F,DWS_Fbase)</f>
        <v>1731.4648943730012</v>
      </c>
      <c r="C151" s="0" cm="1">
        <f ref="C151:C151" t="array">DWS_N*DWS_SG*PO.ESP.Affinity.Power(INDEX(DWS_CurveP,5),DWS_F,DWS_Fbase)</f>
        <v>44.727688888689634</v>
      </c>
      <c r="D151" s="0">
        <f>INDEX(DWS_CurveEff,5)</f>
        <v>0.6025776931839716</v>
      </c>
      <c r="E151" s="0" cm="1">
        <f t="array" ref="E151">DWS_Hst+DWS_Kq*A151+PO.ESP.System.Hfric(A151,DWS_FlowID,DWS_FlowL,DWS_SG)</f>
        <v>963.0705234535303</v>
      </c>
    </row>
    <row r="152">
      <c r="A152" s="0" cm="1">
        <f ref="A152:A152" t="array">PO.ESP.Affinity.Rate(INDEX(DWS_CurveQ,6),DWS_F,DWS_Fbase)</f>
        <v>2478.8058680717886</v>
      </c>
      <c r="B152" s="0" cm="1">
        <f ref="B152:B152" t="array">DWS_N*PO.ESP.Affinity.Head(INDEX(DWS_CurveH,6),DWS_F,DWS_Fbase)</f>
        <v>1615.0638930706145</v>
      </c>
      <c r="C152" s="0" cm="1">
        <f ref="C152:C152" t="array">DWS_N*DWS_SG*PO.ESP.Affinity.Power(INDEX(DWS_CurveP,6),DWS_F,DWS_Fbase)</f>
        <v>47.622060473376195</v>
      </c>
      <c r="D152" s="0">
        <f>INDEX(DWS_CurveEff,6)</f>
        <v>0.6598836336231899</v>
      </c>
      <c r="E152" s="0" cm="1">
        <f t="array" ref="E152">DWS_Hst+DWS_Kq*A152+PO.ESP.System.Hfric(A152,DWS_FlowID,DWS_FlowL,DWS_SG)</f>
        <v>1204.1423117889926</v>
      </c>
    </row>
    <row r="153">
      <c r="A153" s="0" cm="1">
        <f ref="A153:A153" t="array">PO.ESP.Affinity.Rate(INDEX(DWS_CurveQ,7),DWS_F,DWS_Fbase)</f>
        <v>2974.5670416861462</v>
      </c>
      <c r="B153" s="0" cm="1">
        <f ref="B153:B153" t="array">DWS_N*PO.ESP.Affinity.Head(INDEX(DWS_CurveH,7),DWS_F,DWS_Fbase)</f>
        <v>1465.9251101519317</v>
      </c>
      <c r="C153" s="0" cm="1">
        <f ref="C153:C153" t="array">DWS_N*DWS_SG*PO.ESP.Affinity.Power(INDEX(DWS_CurveP,7),DWS_F,DWS_Fbase)</f>
        <v>50.477840436933604</v>
      </c>
      <c r="D153" s="0">
        <f>INDEX(DWS_CurveEff,7)</f>
        <v>0.6780755656832786</v>
      </c>
      <c r="E153" s="0" cm="1">
        <f t="array" ref="E153">DWS_Hst+DWS_Kq*A153+PO.ESP.System.Hfric(A153,DWS_FlowID,DWS_FlowL,DWS_SG)</f>
        <v>1445.2619156111502</v>
      </c>
    </row>
    <row r="154">
      <c r="A154" s="0" cm="1">
        <f ref="A154:A154" t="array">PO.ESP.Affinity.Rate(INDEX(DWS_CurveQ,8),DWS_F,DWS_Fbase)</f>
        <v>3470.328215300504</v>
      </c>
      <c r="B154" s="0" cm="1">
        <f ref="B154:B154" t="array">DWS_N*PO.ESP.Affinity.Head(INDEX(DWS_CurveH,8),DWS_F,DWS_Fbase)</f>
        <v>1287.686076907652</v>
      </c>
      <c r="C154" s="0" cm="1">
        <f ref="C154:C154" t="array">DWS_N*DWS_SG*PO.ESP.Affinity.Power(INDEX(DWS_CurveP,8),DWS_F,DWS_Fbase)</f>
        <v>53.179253915974385</v>
      </c>
      <c r="D154" s="0">
        <f>INDEX(DWS_CurveEff,8)</f>
        <v>0.6596014882653861</v>
      </c>
      <c r="E154" s="0" cm="1">
        <f t="array" ref="E154">DWS_Hst+DWS_Kq*A154+PO.ESP.System.Hfric(A154,DWS_FlowID,DWS_FlowL,DWS_SG)</f>
        <v>1686.4280366731825</v>
      </c>
    </row>
    <row r="155">
      <c r="A155" s="0" cm="1">
        <f ref="A155:A155" t="array">PO.ESP.Affinity.Rate(INDEX(DWS_CurveQ,9),DWS_F,DWS_Fbase)</f>
        <v>3966.0893889148615</v>
      </c>
      <c r="B155" s="0" cm="1">
        <f ref="B155:B155" t="array">DWS_N*PO.ESP.Affinity.Head(INDEX(DWS_CurveH,9),DWS_F,DWS_Fbase)</f>
        <v>1076.7092620470764</v>
      </c>
      <c r="C155" s="0" cm="1">
        <f ref="C155:C155" t="array">DWS_N*DWS_SG*PO.ESP.Affinity.Power(INDEX(DWS_CurveP,9),DWS_F,DWS_Fbase)</f>
        <v>55.6105260471111</v>
      </c>
      <c r="D155" s="0">
        <f>INDEX(DWS_CurveEff,9)</f>
        <v>0.6027639353345483</v>
      </c>
      <c r="E155" s="0" cm="1">
        <f t="array" ref="E155">DWS_Hst+DWS_Kq*A155+PO.ESP.System.Hfric(A155,DWS_FlowID,DWS_FlowL,DWS_SG)</f>
        <v>1927.639606849025</v>
      </c>
    </row>
    <row r="156">
      <c r="A156" s="0" cm="1">
        <f ref="A156:A156" t="array">PO.ESP.Affinity.Rate(INDEX(DWS_CurveQ,10),DWS_F,DWS_Fbase)</f>
        <v>4461.850562529219</v>
      </c>
      <c r="B156" s="0" cm="1">
        <f ref="B156:B156" t="array">DWS_N*PO.ESP.Affinity.Head(INDEX(DWS_CurveH,10),DWS_F,DWS_Fbase)</f>
        <v>836.632196860904</v>
      </c>
      <c r="C156" s="0" cm="1">
        <f ref="C156:C156" t="array">DWS_N*DWS_SG*PO.ESP.Affinity.Power(INDEX(DWS_CurveP,10),DWS_F,DWS_Fbase)</f>
        <v>57.540107103568815</v>
      </c>
      <c r="D156" s="0">
        <f>INDEX(DWS_CurveEff,10)</f>
        <v>0.5092396892026041</v>
      </c>
      <c r="E156" s="0" cm="1">
        <f t="array" ref="E156">DWS_Hst+DWS_Kq*A156+PO.ESP.System.Hfric(A156,DWS_FlowID,DWS_FlowL,DWS_SG)</f>
        <v>2168.895721775154</v>
      </c>
    </row>
    <row r="157">
      <c r="A157" s="0" cm="1">
        <f ref="A157:A157" t="array">PO.ESP.Affinity.Rate(INDEX(DWS_CurveQ,11),DWS_F,DWS_Fbase)</f>
        <v>4957.611736143577</v>
      </c>
      <c r="B157" s="0" cm="1">
        <f ref="B157:B157" t="array">DWS_N*PO.ESP.Affinity.Head(INDEX(DWS_CurveH,11),DWS_F,DWS_Fbase)</f>
        <v>563.8173500584353</v>
      </c>
      <c r="C157" s="0" cm="1">
        <f ref="C157:C157" t="array">DWS_N*DWS_SG*PO.ESP.Affinity.Power(INDEX(DWS_CurveP,11),DWS_F,DWS_Fbase)</f>
        <v>58.23475628389358</v>
      </c>
      <c r="D157" s="0">
        <f>INDEX(DWS_CurveEff,11)</f>
        <v>0.37676625712125905</v>
      </c>
      <c r="E157" s="0" cm="1">
        <f t="array" ref="E157">DWS_Hst+DWS_Kq*A157+PO.ESP.System.Hfric(A157,DWS_FlowID,DWS_FlowL,DWS_SG)</f>
        <v>2410.195599294756</v>
      </c>
    </row>
    <row r="158">
      <c r="A158" s="0" cm="1">
        <f ref="A158:A158" t="array">PO.ESP.Affinity.Rate(INDEX(DWS_CurveQ,12),DWS_F,DWS_Fbase)</f>
        <v>5453.372909757934</v>
      </c>
      <c r="B158" s="0" cm="1">
        <f ref="B158:B158" t="array">DWS_N*PO.ESP.Affinity.Head(INDEX(DWS_CurveH,12),DWS_F,DWS_Fbase)</f>
        <v>261.90225293036997</v>
      </c>
      <c r="C158" s="0" cm="1">
        <f ref="C158:C158" t="array">DWS_N*DWS_SG*PO.ESP.Affinity.Power(INDEX(DWS_CurveP,12),DWS_F,DWS_Fbase)</f>
        <v>53.912494717428324</v>
      </c>
      <c r="D158" s="0">
        <f>INDEX(DWS_CurveEff,12)</f>
        <v>0.20794970944226848</v>
      </c>
      <c r="E158" s="0" cm="1">
        <f t="array" ref="E158">DWS_Hst+DWS_Kq*A158+PO.ESP.System.Hfric(A158,DWS_FlowID,DWS_FlowL,DWS_SG)</f>
        <v>2651.538551757393</v>
      </c>
    </row>
    <row r="160">
      <c r="A160" s="7" t="s">
        <v>208</v>
      </c>
      <c r="B160" s="7"/>
      <c r="C160" s="7"/>
      <c r="D160" s="7"/>
      <c r="E160" s="7"/>
    </row>
    <row r="161">
      <c r="B161" s="1" t="s">
        <v>92</v>
      </c>
      <c r="C161" s="1" t="s">
        <v>207</v>
      </c>
      <c r="D161" s="1" t="s">
        <v>159</v>
      </c>
      <c r="E161" s="1" t="s">
        <v>95</v>
      </c>
    </row>
    <row r="162">
      <c r="A162" s="0" t="s">
        <v>209</v>
      </c>
      <c r="B162" s="0">
        <f>DWS_Qop</f>
        <v>2999.577284085927</v>
      </c>
      <c r="C162" s="0">
        <f>DWS_TDHop</f>
        <v>1457.427199921033</v>
      </c>
      <c r="D162" s="0">
        <f>DWS_BHPop</f>
        <v>50.61857026899056</v>
      </c>
      <c r="E162" s="0">
        <f>DWS_EffOp</f>
        <v>0.6780177871817172</v>
      </c>
    </row>
    <row r="163">
      <c r="A163" s="0" t="s">
        <v>210</v>
      </c>
      <c r="B163" s="0">
        <f>DWS_Qmin*DWS_R</f>
        <v>2181.3491639031736</v>
      </c>
      <c r="C163" s="0">
        <v>0</v>
      </c>
    </row>
    <row r="164">
      <c r="A164" s="0" t="s">
        <v>211</v>
      </c>
      <c r="B164" s="0">
        <f>DWS_Qmin*DWS_R</f>
        <v>2181.3491639031736</v>
      </c>
      <c r="C164" s="0" cm="1">
        <f ref="C164:C164" t="array">DWS_N*PO.ESP.Curve.HeadAtSpeed(B164,DWS_F,DWS_Fbase,DWS_CurveQ,DWS_CurveH)</f>
        <v>1688.5641715587217</v>
      </c>
    </row>
    <row r="165">
      <c r="A165" s="0" t="s">
        <v>212</v>
      </c>
      <c r="B165" s="0">
        <f>DWS_Qmax*DWS_R</f>
        <v>3767.7849194691184</v>
      </c>
      <c r="C165" s="0">
        <v>0</v>
      </c>
    </row>
    <row r="166">
      <c r="A166" s="0" t="s">
        <v>213</v>
      </c>
      <c r="B166" s="0">
        <f>DWS_Qmax*DWS_R</f>
        <v>3767.7849194691184</v>
      </c>
      <c r="C166" s="0" cm="1">
        <f ref="C166:C166" t="array">DWS_N*PO.ESP.Curve.HeadAtSpeed(B166,DWS_F,DWS_Fbase,DWS_CurveQ,DWS_CurveH)</f>
        <v>1164.801003462093</v>
      </c>
    </row>
    <row r="167">
      <c r="A167" s="0" t="s">
        <v>214</v>
      </c>
      <c r="B167" s="0">
        <f>DWS_QBEP*DWS_R</f>
        <v>2972.0882358180743</v>
      </c>
      <c r="C167" s="0" cm="1">
        <f ref="C167:C167" t="array">DWS_N*PO.ESP.Curve.HeadAtSpeed(B167,DWS_F,DWS_Fbase,DWS_CurveQ,DWS_CurveH)</f>
        <v>1466.743321791513</v>
      </c>
    </row>
    <row r="169">
      <c r="A169" s="7" t="s">
        <v>215</v>
      </c>
      <c r="B169" s="7"/>
      <c r="C169" s="7"/>
      <c r="D169" s="7"/>
      <c r="E169" s="7"/>
      <c r="F169" s="7"/>
      <c r="G169" s="7"/>
    </row>
    <row r="170">
      <c r="B170" s="0" t="str">
        <f>TEXT(INDEX(DWS_VsdF,1),"0")&amp;" Hz"</f>
        <v>40 Hz</v>
      </c>
      <c r="D170" s="0" t="str">
        <f>TEXT(INDEX(DWS_VsdF,2),"0")&amp;" Hz"</f>
        <v>45 Hz</v>
      </c>
      <c r="F170" s="0" t="str">
        <f>TEXT(INDEX(DWS_VsdF,3),"0")&amp;" Hz"</f>
        <v>50 Hz</v>
      </c>
      <c r="H170" s="0" t="str">
        <f>TEXT(INDEX(DWS_VsdF,4),"0")&amp;" Hz"</f>
        <v>55 Hz</v>
      </c>
      <c r="J170" s="0" t="str">
        <f>TEXT(INDEX(DWS_VsdF,5),"0")&amp;" Hz"</f>
        <v>60 Hz</v>
      </c>
      <c r="L170" s="0" t="str">
        <f>TEXT(INDEX(DWS_VsdF,6),"0")&amp;" Hz"</f>
        <v>65 Hz</v>
      </c>
      <c r="N170" s="0" t="str">
        <f>TEXT(INDEX(DWS_VsdF,7),"0")&amp;" Hz"</f>
        <v>70 Hz</v>
      </c>
    </row>
    <row r="171">
      <c r="B171" s="0" t="s">
        <v>216</v>
      </c>
      <c r="C171" s="0" t="s">
        <v>217</v>
      </c>
      <c r="D171" s="0" t="s">
        <v>216</v>
      </c>
      <c r="E171" s="0" t="s">
        <v>217</v>
      </c>
      <c r="F171" s="0" t="s">
        <v>216</v>
      </c>
      <c r="G171" s="0" t="s">
        <v>217</v>
      </c>
      <c r="H171" s="0" t="s">
        <v>216</v>
      </c>
      <c r="I171" s="0" t="s">
        <v>217</v>
      </c>
      <c r="J171" s="0" t="s">
        <v>216</v>
      </c>
      <c r="K171" s="0" t="s">
        <v>217</v>
      </c>
      <c r="L171" s="0" t="s">
        <v>216</v>
      </c>
      <c r="M171" s="0" t="s">
        <v>217</v>
      </c>
      <c r="N171" s="0" t="s">
        <v>216</v>
      </c>
      <c r="O171" s="0" t="s">
        <v>217</v>
      </c>
    </row>
    <row r="172">
      <c r="B172" s="0" cm="1">
        <f ref="B172:B172" t="array">PO.ESP.Affinity.Rate(INDEX(DWS_CurveQ,1),INDEX(DWS_VsdF,1),DWS_Fbase)</f>
        <v>0</v>
      </c>
      <c r="C172" s="0" cm="1">
        <f ref="C172:C172" t="array">DWS_N*PO.ESP.Affinity.Head(INDEX(DWS_CurveH,1),INDEX(DWS_VsdF,1),DWS_Fbase)</f>
        <v>855.1111111111111</v>
      </c>
      <c r="D172" s="0" cm="1">
        <f ref="D172:D172" t="array">PO.ESP.Affinity.Rate(INDEX(DWS_CurveQ,1),INDEX(DWS_VsdF,2),DWS_Fbase)</f>
        <v>0</v>
      </c>
      <c r="E172" s="0" cm="1">
        <f ref="E172:E172" t="array">DWS_N*PO.ESP.Affinity.Head(INDEX(DWS_CurveH,1),INDEX(DWS_VsdF,2),DWS_Fbase)</f>
        <v>1082.25</v>
      </c>
      <c r="F172" s="0" cm="1">
        <f ref="F172:F172" t="array">PO.ESP.Affinity.Rate(INDEX(DWS_CurveQ,1),INDEX(DWS_VsdF,3),DWS_Fbase)</f>
        <v>0</v>
      </c>
      <c r="G172" s="0" cm="1">
        <f ref="G172:G172" t="array">DWS_N*PO.ESP.Affinity.Head(INDEX(DWS_CurveH,1),INDEX(DWS_VsdF,3),DWS_Fbase)</f>
        <v>1336.1111111111113</v>
      </c>
      <c r="H172" s="0" cm="1">
        <f ref="H172:H172" t="array">PO.ESP.Affinity.Rate(INDEX(DWS_CurveQ,1),INDEX(DWS_VsdF,4),DWS_Fbase)</f>
        <v>0</v>
      </c>
      <c r="I172" s="0" cm="1">
        <f ref="I172:I172" t="array">DWS_N*PO.ESP.Affinity.Head(INDEX(DWS_CurveH,1),INDEX(DWS_VsdF,4),DWS_Fbase)</f>
        <v>1616.6944444444443</v>
      </c>
      <c r="J172" s="0" cm="1">
        <f ref="J172:J172" t="array">PO.ESP.Affinity.Rate(INDEX(DWS_CurveQ,1),INDEX(DWS_VsdF,5),DWS_Fbase)</f>
        <v>0</v>
      </c>
      <c r="K172" s="0" cm="1">
        <f ref="K172:K172" t="array">DWS_N*PO.ESP.Affinity.Head(INDEX(DWS_CurveH,1),INDEX(DWS_VsdF,5),DWS_Fbase)</f>
        <v>1924</v>
      </c>
      <c r="L172" s="0" cm="1">
        <f ref="L172:L172" t="array">PO.ESP.Affinity.Rate(INDEX(DWS_CurveQ,1),INDEX(DWS_VsdF,6),DWS_Fbase)</f>
        <v>0</v>
      </c>
      <c r="M172" s="0" cm="1">
        <f ref="M172:M172" t="array">DWS_N*PO.ESP.Affinity.Head(INDEX(DWS_CurveH,1),INDEX(DWS_VsdF,6),DWS_Fbase)</f>
        <v>2258.0277777777774</v>
      </c>
      <c r="N172" s="0" cm="1">
        <f ref="N172:N172" t="array">PO.ESP.Affinity.Rate(INDEX(DWS_CurveQ,1),INDEX(DWS_VsdF,7),DWS_Fbase)</f>
        <v>0</v>
      </c>
      <c r="O172" s="0" cm="1">
        <f ref="O172:O172" t="array">DWS_N*PO.ESP.Affinity.Head(INDEX(DWS_CurveH,1),INDEX(DWS_VsdF,7),DWS_Fbase)</f>
        <v>2618.7777777777783</v>
      </c>
    </row>
    <row r="173">
      <c r="B173" s="0" cm="1">
        <f ref="B173:B173" t="array">PO.ESP.Affinity.Rate(INDEX(DWS_CurveQ,2),INDEX(DWS_VsdF,1),DWS_Fbase)</f>
        <v>333.3333333333333</v>
      </c>
      <c r="C173" s="0" cm="1">
        <f ref="C173:C173" t="array">DWS_N*PO.ESP.Affinity.Head(INDEX(DWS_CurveH,2),INDEX(DWS_VsdF,1),DWS_Fbase)</f>
        <v>858.4</v>
      </c>
      <c r="D173" s="0" cm="1">
        <f ref="D173:D173" t="array">PO.ESP.Affinity.Rate(INDEX(DWS_CurveQ,2),INDEX(DWS_VsdF,2),DWS_Fbase)</f>
        <v>375</v>
      </c>
      <c r="E173" s="0" cm="1">
        <f ref="E173:E173" t="array">DWS_N*PO.ESP.Affinity.Head(INDEX(DWS_CurveH,2),INDEX(DWS_VsdF,2),DWS_Fbase)</f>
        <v>1086.4125000000001</v>
      </c>
      <c r="F173" s="0" cm="1">
        <f ref="F173:F173" t="array">PO.ESP.Affinity.Rate(INDEX(DWS_CurveQ,2),INDEX(DWS_VsdF,3),DWS_Fbase)</f>
        <v>416.6666666666667</v>
      </c>
      <c r="G173" s="0" cm="1">
        <f ref="G173:G173" t="array">DWS_N*PO.ESP.Affinity.Head(INDEX(DWS_CurveH,2),INDEX(DWS_VsdF,3),DWS_Fbase)</f>
        <v>1341.2500000000002</v>
      </c>
      <c r="H173" s="0" cm="1">
        <f ref="H173:H173" t="array">PO.ESP.Affinity.Rate(INDEX(DWS_CurveQ,2),INDEX(DWS_VsdF,4),DWS_Fbase)</f>
        <v>458.3333333333333</v>
      </c>
      <c r="I173" s="0" cm="1">
        <f ref="I173:I173" t="array">DWS_N*PO.ESP.Affinity.Head(INDEX(DWS_CurveH,2),INDEX(DWS_VsdF,4),DWS_Fbase)</f>
        <v>1622.9125</v>
      </c>
      <c r="J173" s="0" cm="1">
        <f ref="J173:J173" t="array">PO.ESP.Affinity.Rate(INDEX(DWS_CurveQ,2),INDEX(DWS_VsdF,5),DWS_Fbase)</f>
        <v>500</v>
      </c>
      <c r="K173" s="0" cm="1">
        <f ref="K173:K173" t="array">DWS_N*PO.ESP.Affinity.Head(INDEX(DWS_CurveH,2),INDEX(DWS_VsdF,5),DWS_Fbase)</f>
        <v>1931.4</v>
      </c>
      <c r="L173" s="0" cm="1">
        <f ref="L173:L173" t="array">PO.ESP.Affinity.Rate(INDEX(DWS_CurveQ,2),INDEX(DWS_VsdF,6),DWS_Fbase)</f>
        <v>541.6666666666666</v>
      </c>
      <c r="M173" s="0" cm="1">
        <f ref="M173:M173" t="array">DWS_N*PO.ESP.Affinity.Head(INDEX(DWS_CurveH,2),INDEX(DWS_VsdF,6),DWS_Fbase)</f>
        <v>2266.7124999999996</v>
      </c>
      <c r="N173" s="0" cm="1">
        <f ref="N173:N173" t="array">PO.ESP.Affinity.Rate(INDEX(DWS_CurveQ,2),INDEX(DWS_VsdF,7),DWS_Fbase)</f>
        <v>583.3333333333334</v>
      </c>
      <c r="O173" s="0" cm="1">
        <f ref="O173:O173" t="array">DWS_N*PO.ESP.Affinity.Head(INDEX(DWS_CurveH,2),INDEX(DWS_VsdF,7),DWS_Fbase)</f>
        <v>2628.8500000000004</v>
      </c>
    </row>
    <row r="174">
      <c r="B174" s="0" cm="1">
        <f ref="B174:B174" t="array">PO.ESP.Affinity.Rate(INDEX(DWS_CurveQ,3),INDEX(DWS_VsdF,1),DWS_Fbase)</f>
        <v>666.6666666666666</v>
      </c>
      <c r="C174" s="0" cm="1">
        <f ref="C174:C174" t="array">DWS_N*PO.ESP.Affinity.Head(INDEX(DWS_CurveH,3),INDEX(DWS_VsdF,1),DWS_Fbase)</f>
        <v>846.8888888888889</v>
      </c>
      <c r="D174" s="0" cm="1">
        <f ref="D174:D174" t="array">PO.ESP.Affinity.Rate(INDEX(DWS_CurveQ,3),INDEX(DWS_VsdF,2),DWS_Fbase)</f>
        <v>750</v>
      </c>
      <c r="E174" s="0" cm="1">
        <f ref="E174:E174" t="array">DWS_N*PO.ESP.Affinity.Head(INDEX(DWS_CurveH,3),INDEX(DWS_VsdF,2),DWS_Fbase)</f>
        <v>1071.84375</v>
      </c>
      <c r="F174" s="0" cm="1">
        <f ref="F174:F174" t="array">PO.ESP.Affinity.Rate(INDEX(DWS_CurveQ,3),INDEX(DWS_VsdF,3),DWS_Fbase)</f>
        <v>833.3333333333334</v>
      </c>
      <c r="G174" s="0" cm="1">
        <f ref="G174:G174" t="array">DWS_N*PO.ESP.Affinity.Head(INDEX(DWS_CurveH,3),INDEX(DWS_VsdF,3),DWS_Fbase)</f>
        <v>1323.2638888888891</v>
      </c>
      <c r="H174" s="0" cm="1">
        <f ref="H174:H174" t="array">PO.ESP.Affinity.Rate(INDEX(DWS_CurveQ,3),INDEX(DWS_VsdF,4),DWS_Fbase)</f>
        <v>916.6666666666666</v>
      </c>
      <c r="I174" s="0" cm="1">
        <f ref="I174:I174" t="array">DWS_N*PO.ESP.Affinity.Head(INDEX(DWS_CurveH,3),INDEX(DWS_VsdF,4),DWS_Fbase)</f>
        <v>1601.1493055555554</v>
      </c>
      <c r="J174" s="0" cm="1">
        <f ref="J174:J174" t="array">PO.ESP.Affinity.Rate(INDEX(DWS_CurveQ,3),INDEX(DWS_VsdF,5),DWS_Fbase)</f>
        <v>1000</v>
      </c>
      <c r="K174" s="0" cm="1">
        <f ref="K174:K174" t="array">DWS_N*PO.ESP.Affinity.Head(INDEX(DWS_CurveH,3),INDEX(DWS_VsdF,5),DWS_Fbase)</f>
        <v>1905.5</v>
      </c>
      <c r="L174" s="0" cm="1">
        <f ref="L174:L174" t="array">PO.ESP.Affinity.Rate(INDEX(DWS_CurveQ,3),INDEX(DWS_VsdF,6),DWS_Fbase)</f>
        <v>1083.3333333333333</v>
      </c>
      <c r="M174" s="0" cm="1">
        <f ref="M174:M174" t="array">DWS_N*PO.ESP.Affinity.Head(INDEX(DWS_CurveH,3),INDEX(DWS_VsdF,6),DWS_Fbase)</f>
        <v>2236.3159722222217</v>
      </c>
      <c r="N174" s="0" cm="1">
        <f ref="N174:N174" t="array">PO.ESP.Affinity.Rate(INDEX(DWS_CurveQ,3),INDEX(DWS_VsdF,7),DWS_Fbase)</f>
        <v>1166.6666666666667</v>
      </c>
      <c r="O174" s="0" cm="1">
        <f ref="O174:O174" t="array">DWS_N*PO.ESP.Affinity.Head(INDEX(DWS_CurveH,3),INDEX(DWS_VsdF,7),DWS_Fbase)</f>
        <v>2593.597222222223</v>
      </c>
    </row>
    <row r="175">
      <c r="B175" s="0" cm="1">
        <f ref="B175:B175" t="array">PO.ESP.Affinity.Rate(INDEX(DWS_CurveQ,4),INDEX(DWS_VsdF,1),DWS_Fbase)</f>
        <v>1000</v>
      </c>
      <c r="C175" s="0" cm="1">
        <f ref="C175:C175" t="array">DWS_N*PO.ESP.Affinity.Head(INDEX(DWS_CurveH,4),INDEX(DWS_VsdF,1),DWS_Fbase)</f>
        <v>822.2222222222222</v>
      </c>
      <c r="D175" s="0" cm="1">
        <f ref="D175:D175" t="array">PO.ESP.Affinity.Rate(INDEX(DWS_CurveQ,4),INDEX(DWS_VsdF,2),DWS_Fbase)</f>
        <v>1125</v>
      </c>
      <c r="E175" s="0" cm="1">
        <f ref="E175:E175" t="array">DWS_N*PO.ESP.Affinity.Head(INDEX(DWS_CurveH,4),INDEX(DWS_VsdF,2),DWS_Fbase)</f>
        <v>1040.625</v>
      </c>
      <c r="F175" s="0" cm="1">
        <f ref="F175:F175" t="array">PO.ESP.Affinity.Rate(INDEX(DWS_CurveQ,4),INDEX(DWS_VsdF,3),DWS_Fbase)</f>
        <v>1250</v>
      </c>
      <c r="G175" s="0" cm="1">
        <f ref="G175:G175" t="array">DWS_N*PO.ESP.Affinity.Head(INDEX(DWS_CurveH,4),INDEX(DWS_VsdF,3),DWS_Fbase)</f>
        <v>1284.7222222222224</v>
      </c>
      <c r="H175" s="0" cm="1">
        <f ref="H175:H175" t="array">PO.ESP.Affinity.Rate(INDEX(DWS_CurveQ,4),INDEX(DWS_VsdF,4),DWS_Fbase)</f>
        <v>1375</v>
      </c>
      <c r="I175" s="0" cm="1">
        <f ref="I175:I175" t="array">DWS_N*PO.ESP.Affinity.Head(INDEX(DWS_CurveH,4),INDEX(DWS_VsdF,4),DWS_Fbase)</f>
        <v>1554.5138888888887</v>
      </c>
      <c r="J175" s="0" cm="1">
        <f ref="J175:J175" t="array">PO.ESP.Affinity.Rate(INDEX(DWS_CurveQ,4),INDEX(DWS_VsdF,5),DWS_Fbase)</f>
        <v>1500</v>
      </c>
      <c r="K175" s="0" cm="1">
        <f ref="K175:K175" t="array">DWS_N*PO.ESP.Affinity.Head(INDEX(DWS_CurveH,4),INDEX(DWS_VsdF,5),DWS_Fbase)</f>
        <v>1850</v>
      </c>
      <c r="L175" s="0" cm="1">
        <f ref="L175:L175" t="array">PO.ESP.Affinity.Rate(INDEX(DWS_CurveQ,4),INDEX(DWS_VsdF,6),DWS_Fbase)</f>
        <v>1625</v>
      </c>
      <c r="M175" s="0" cm="1">
        <f ref="M175:M175" t="array">DWS_N*PO.ESP.Affinity.Head(INDEX(DWS_CurveH,4),INDEX(DWS_VsdF,6),DWS_Fbase)</f>
        <v>2171.180555555555</v>
      </c>
      <c r="N175" s="0" cm="1">
        <f ref="N175:N175" t="array">PO.ESP.Affinity.Rate(INDEX(DWS_CurveQ,4),INDEX(DWS_VsdF,7),DWS_Fbase)</f>
        <v>1750</v>
      </c>
      <c r="O175" s="0" cm="1">
        <f ref="O175:O175" t="array">DWS_N*PO.ESP.Affinity.Head(INDEX(DWS_CurveH,4),INDEX(DWS_VsdF,7),DWS_Fbase)</f>
        <v>2518.055555555556</v>
      </c>
    </row>
    <row r="176">
      <c r="B176" s="0" cm="1">
        <f ref="B176:B176" t="array">PO.ESP.Affinity.Rate(INDEX(DWS_CurveQ,5),INDEX(DWS_VsdF,1),DWS_Fbase)</f>
        <v>1333.3333333333333</v>
      </c>
      <c r="C176" s="0" cm="1">
        <f ref="C176:C176" t="array">DWS_N*PO.ESP.Affinity.Head(INDEX(DWS_CurveH,5),INDEX(DWS_VsdF,1),DWS_Fbase)</f>
        <v>782.7555555555556</v>
      </c>
      <c r="D176" s="0" cm="1">
        <f ref="D176:D176" t="array">PO.ESP.Affinity.Rate(INDEX(DWS_CurveQ,5),INDEX(DWS_VsdF,2),DWS_Fbase)</f>
        <v>1500</v>
      </c>
      <c r="E176" s="0" cm="1">
        <f ref="E176:E176" t="array">DWS_N*PO.ESP.Affinity.Head(INDEX(DWS_CurveH,5),INDEX(DWS_VsdF,2),DWS_Fbase)</f>
        <v>990.6750000000001</v>
      </c>
      <c r="F176" s="0" cm="1">
        <f ref="F176:F176" t="array">PO.ESP.Affinity.Rate(INDEX(DWS_CurveQ,5),INDEX(DWS_VsdF,3),DWS_Fbase)</f>
        <v>1666.6666666666667</v>
      </c>
      <c r="G176" s="0" cm="1">
        <f ref="G176:G176" t="array">DWS_N*PO.ESP.Affinity.Head(INDEX(DWS_CurveH,5),INDEX(DWS_VsdF,3),DWS_Fbase)</f>
        <v>1223.0555555555557</v>
      </c>
      <c r="H176" s="0" cm="1">
        <f ref="H176:H176" t="array">PO.ESP.Affinity.Rate(INDEX(DWS_CurveQ,5),INDEX(DWS_VsdF,4),DWS_Fbase)</f>
        <v>1833.3333333333333</v>
      </c>
      <c r="I176" s="0" cm="1">
        <f ref="I176:I176" t="array">DWS_N*PO.ESP.Affinity.Head(INDEX(DWS_CurveH,5),INDEX(DWS_VsdF,4),DWS_Fbase)</f>
        <v>1479.8972222222221</v>
      </c>
      <c r="J176" s="0" cm="1">
        <f ref="J176:J176" t="array">PO.ESP.Affinity.Rate(INDEX(DWS_CurveQ,5),INDEX(DWS_VsdF,5),DWS_Fbase)</f>
        <v>2000</v>
      </c>
      <c r="K176" s="0" cm="1">
        <f ref="K176:K176" t="array">DWS_N*PO.ESP.Affinity.Head(INDEX(DWS_CurveH,5),INDEX(DWS_VsdF,5),DWS_Fbase)</f>
        <v>1761.2</v>
      </c>
      <c r="L176" s="0" cm="1">
        <f ref="L176:L176" t="array">PO.ESP.Affinity.Rate(INDEX(DWS_CurveQ,5),INDEX(DWS_VsdF,6),DWS_Fbase)</f>
        <v>2166.6666666666665</v>
      </c>
      <c r="M176" s="0" cm="1">
        <f ref="M176:M176" t="array">DWS_N*PO.ESP.Affinity.Head(INDEX(DWS_CurveH,5),INDEX(DWS_VsdF,6),DWS_Fbase)</f>
        <v>2066.9638888888885</v>
      </c>
      <c r="N176" s="0" cm="1">
        <f ref="N176:N176" t="array">PO.ESP.Affinity.Rate(INDEX(DWS_CurveQ,5),INDEX(DWS_VsdF,7),DWS_Fbase)</f>
        <v>2333.3333333333335</v>
      </c>
      <c r="O176" s="0" cm="1">
        <f ref="O176:O176" t="array">DWS_N*PO.ESP.Affinity.Head(INDEX(DWS_CurveH,5),INDEX(DWS_VsdF,7),DWS_Fbase)</f>
        <v>2397.1888888888893</v>
      </c>
    </row>
    <row r="177">
      <c r="B177" s="0" cm="1">
        <f ref="B177:B177" t="array">PO.ESP.Affinity.Rate(INDEX(DWS_CurveQ,6),INDEX(DWS_VsdF,1),DWS_Fbase)</f>
        <v>1666.6666666666667</v>
      </c>
      <c r="C177" s="0" cm="1">
        <f ref="C177:C177" t="array">DWS_N*PO.ESP.Affinity.Head(INDEX(DWS_CurveH,6),INDEX(DWS_VsdF,1),DWS_Fbase)</f>
        <v>730.1333333333332</v>
      </c>
      <c r="D177" s="0" cm="1">
        <f ref="D177:D177" t="array">PO.ESP.Affinity.Rate(INDEX(DWS_CurveQ,6),INDEX(DWS_VsdF,2),DWS_Fbase)</f>
        <v>1875</v>
      </c>
      <c r="E177" s="0" cm="1">
        <f ref="E177:E177" t="array">DWS_N*PO.ESP.Affinity.Head(INDEX(DWS_CurveH,6),INDEX(DWS_VsdF,2),DWS_Fbase)</f>
        <v>924.0749999999999</v>
      </c>
      <c r="F177" s="0" cm="1">
        <f ref="F177:F177" t="array">PO.ESP.Affinity.Rate(INDEX(DWS_CurveQ,6),INDEX(DWS_VsdF,3),DWS_Fbase)</f>
        <v>2083.3333333333335</v>
      </c>
      <c r="G177" s="0" cm="1">
        <f ref="G177:G177" t="array">DWS_N*PO.ESP.Affinity.Head(INDEX(DWS_CurveH,6),INDEX(DWS_VsdF,3),DWS_Fbase)</f>
        <v>1140.8333333333335</v>
      </c>
      <c r="H177" s="0" cm="1">
        <f ref="H177:H177" t="array">PO.ESP.Affinity.Rate(INDEX(DWS_CurveQ,6),INDEX(DWS_VsdF,4),DWS_Fbase)</f>
        <v>2291.6666666666665</v>
      </c>
      <c r="I177" s="0" cm="1">
        <f ref="I177:I177" t="array">DWS_N*PO.ESP.Affinity.Head(INDEX(DWS_CurveH,6),INDEX(DWS_VsdF,4),DWS_Fbase)</f>
        <v>1380.4083333333333</v>
      </c>
      <c r="J177" s="0" cm="1">
        <f ref="J177:J177" t="array">PO.ESP.Affinity.Rate(INDEX(DWS_CurveQ,6),INDEX(DWS_VsdF,5),DWS_Fbase)</f>
        <v>2500</v>
      </c>
      <c r="K177" s="0" cm="1">
        <f ref="K177:K177" t="array">DWS_N*PO.ESP.Affinity.Head(INDEX(DWS_CurveH,6),INDEX(DWS_VsdF,5),DWS_Fbase)</f>
        <v>1642.8</v>
      </c>
      <c r="L177" s="0" cm="1">
        <f ref="L177:L177" t="array">PO.ESP.Affinity.Rate(INDEX(DWS_CurveQ,6),INDEX(DWS_VsdF,6),DWS_Fbase)</f>
        <v>2708.3333333333335</v>
      </c>
      <c r="M177" s="0" cm="1">
        <f ref="M177:M177" t="array">DWS_N*PO.ESP.Affinity.Head(INDEX(DWS_CurveH,6),INDEX(DWS_VsdF,6),DWS_Fbase)</f>
        <v>1928.0083333333332</v>
      </c>
      <c r="N177" s="0" cm="1">
        <f ref="N177:N177" t="array">PO.ESP.Affinity.Rate(INDEX(DWS_CurveQ,6),INDEX(DWS_VsdF,7),DWS_Fbase)</f>
        <v>2916.6666666666665</v>
      </c>
      <c r="O177" s="0" cm="1">
        <f ref="O177:O177" t="array">DWS_N*PO.ESP.Affinity.Head(INDEX(DWS_CurveH,6),INDEX(DWS_VsdF,7),DWS_Fbase)</f>
        <v>2236.0333333333338</v>
      </c>
    </row>
    <row r="178">
      <c r="B178" s="0" cm="1">
        <f ref="B178:B178" t="array">PO.ESP.Affinity.Rate(INDEX(DWS_CurveQ,7),INDEX(DWS_VsdF,1),DWS_Fbase)</f>
        <v>2000</v>
      </c>
      <c r="C178" s="0" cm="1">
        <f ref="C178:C178" t="array">DWS_N*PO.ESP.Affinity.Head(INDEX(DWS_CurveH,7),INDEX(DWS_VsdF,1),DWS_Fbase)</f>
        <v>662.711111111111</v>
      </c>
      <c r="D178" s="0" cm="1">
        <f ref="D178:D178" t="array">PO.ESP.Affinity.Rate(INDEX(DWS_CurveQ,7),INDEX(DWS_VsdF,2),DWS_Fbase)</f>
        <v>2250</v>
      </c>
      <c r="E178" s="0" cm="1">
        <f ref="E178:E178" t="array">DWS_N*PO.ESP.Affinity.Head(INDEX(DWS_CurveH,7),INDEX(DWS_VsdF,2),DWS_Fbase)</f>
        <v>838.74375</v>
      </c>
      <c r="F178" s="0" cm="1">
        <f ref="F178:F178" t="array">PO.ESP.Affinity.Rate(INDEX(DWS_CurveQ,7),INDEX(DWS_VsdF,3),DWS_Fbase)</f>
        <v>2500</v>
      </c>
      <c r="G178" s="0" cm="1">
        <f ref="G178:G178" t="array">DWS_N*PO.ESP.Affinity.Head(INDEX(DWS_CurveH,7),INDEX(DWS_VsdF,3),DWS_Fbase)</f>
        <v>1035.4861111111113</v>
      </c>
      <c r="H178" s="0" cm="1">
        <f ref="H178:H178" t="array">PO.ESP.Affinity.Rate(INDEX(DWS_CurveQ,7),INDEX(DWS_VsdF,4),DWS_Fbase)</f>
        <v>2750</v>
      </c>
      <c r="I178" s="0" cm="1">
        <f ref="I178:I178" t="array">DWS_N*PO.ESP.Affinity.Head(INDEX(DWS_CurveH,7),INDEX(DWS_VsdF,4),DWS_Fbase)</f>
        <v>1252.9381944444442</v>
      </c>
      <c r="J178" s="0" cm="1">
        <f ref="J178:J178" t="array">PO.ESP.Affinity.Rate(INDEX(DWS_CurveQ,7),INDEX(DWS_VsdF,5),DWS_Fbase)</f>
        <v>3000</v>
      </c>
      <c r="K178" s="0" cm="1">
        <f ref="K178:K178" t="array">DWS_N*PO.ESP.Affinity.Head(INDEX(DWS_CurveH,7),INDEX(DWS_VsdF,5),DWS_Fbase)</f>
        <v>1491.1</v>
      </c>
      <c r="L178" s="0" cm="1">
        <f ref="L178:L178" t="array">PO.ESP.Affinity.Rate(INDEX(DWS_CurveQ,7),INDEX(DWS_VsdF,6),DWS_Fbase)</f>
        <v>3250</v>
      </c>
      <c r="M178" s="0" cm="1">
        <f ref="M178:M178" t="array">DWS_N*PO.ESP.Affinity.Head(INDEX(DWS_CurveH,7),INDEX(DWS_VsdF,6),DWS_Fbase)</f>
        <v>1749.9715277777775</v>
      </c>
      <c r="N178" s="0" cm="1">
        <f ref="N178:N178" t="array">PO.ESP.Affinity.Rate(INDEX(DWS_CurveQ,7),INDEX(DWS_VsdF,7),DWS_Fbase)</f>
        <v>3500</v>
      </c>
      <c r="O178" s="0" cm="1">
        <f ref="O178:O178" t="array">DWS_N*PO.ESP.Affinity.Head(INDEX(DWS_CurveH,7),INDEX(DWS_VsdF,7),DWS_Fbase)</f>
        <v>2029.552777777778</v>
      </c>
    </row>
    <row r="179">
      <c r="B179" s="0" cm="1">
        <f ref="B179:B179" t="array">PO.ESP.Affinity.Rate(INDEX(DWS_CurveQ,8),INDEX(DWS_VsdF,1),DWS_Fbase)</f>
        <v>2333.3333333333335</v>
      </c>
      <c r="C179" s="0" cm="1">
        <f ref="C179:C179" t="array">DWS_N*PO.ESP.Affinity.Head(INDEX(DWS_CurveH,8),INDEX(DWS_VsdF,1),DWS_Fbase)</f>
        <v>582.1333333333333</v>
      </c>
      <c r="D179" s="0" cm="1">
        <f ref="D179:D179" t="array">PO.ESP.Affinity.Rate(INDEX(DWS_CurveQ,8),INDEX(DWS_VsdF,2),DWS_Fbase)</f>
        <v>2625</v>
      </c>
      <c r="E179" s="0" cm="1">
        <f ref="E179:E179" t="array">DWS_N*PO.ESP.Affinity.Head(INDEX(DWS_CurveH,8),INDEX(DWS_VsdF,2),DWS_Fbase)</f>
        <v>736.7624999999999</v>
      </c>
      <c r="F179" s="0" cm="1">
        <f ref="F179:F179" t="array">PO.ESP.Affinity.Rate(INDEX(DWS_CurveQ,8),INDEX(DWS_VsdF,3),DWS_Fbase)</f>
        <v>2916.6666666666665</v>
      </c>
      <c r="G179" s="0" cm="1">
        <f ref="G179:G179" t="array">DWS_N*PO.ESP.Affinity.Head(INDEX(DWS_CurveH,8),INDEX(DWS_VsdF,3),DWS_Fbase)</f>
        <v>909.5833333333334</v>
      </c>
      <c r="H179" s="0" cm="1">
        <f ref="H179:H179" t="array">PO.ESP.Affinity.Rate(INDEX(DWS_CurveQ,8),INDEX(DWS_VsdF,4),DWS_Fbase)</f>
        <v>3208.3333333333335</v>
      </c>
      <c r="I179" s="0" cm="1">
        <f ref="I179:I179" t="array">DWS_N*PO.ESP.Affinity.Head(INDEX(DWS_CurveH,8),INDEX(DWS_VsdF,4),DWS_Fbase)</f>
        <v>1100.5958333333333</v>
      </c>
      <c r="J179" s="0" cm="1">
        <f ref="J179:J179" t="array">PO.ESP.Affinity.Rate(INDEX(DWS_CurveQ,8),INDEX(DWS_VsdF,5),DWS_Fbase)</f>
        <v>3500</v>
      </c>
      <c r="K179" s="0" cm="1">
        <f ref="K179:K179" t="array">DWS_N*PO.ESP.Affinity.Head(INDEX(DWS_CurveH,8),INDEX(DWS_VsdF,5),DWS_Fbase)</f>
        <v>1309.8</v>
      </c>
      <c r="L179" s="0" cm="1">
        <f ref="L179:L179" t="array">PO.ESP.Affinity.Rate(INDEX(DWS_CurveQ,8),INDEX(DWS_VsdF,6),DWS_Fbase)</f>
        <v>3791.6666666666665</v>
      </c>
      <c r="M179" s="0" cm="1">
        <f ref="M179:M179" t="array">DWS_N*PO.ESP.Affinity.Head(INDEX(DWS_CurveH,8),INDEX(DWS_VsdF,6),DWS_Fbase)</f>
        <v>1537.1958333333332</v>
      </c>
      <c r="N179" s="0" cm="1">
        <f ref="N179:N179" t="array">PO.ESP.Affinity.Rate(INDEX(DWS_CurveQ,8),INDEX(DWS_VsdF,7),DWS_Fbase)</f>
        <v>4083.3333333333335</v>
      </c>
      <c r="O179" s="0" cm="1">
        <f ref="O179:O179" t="array">DWS_N*PO.ESP.Affinity.Head(INDEX(DWS_CurveH,8),INDEX(DWS_VsdF,7),DWS_Fbase)</f>
        <v>1782.7833333333338</v>
      </c>
    </row>
    <row r="180">
      <c r="B180" s="0" cm="1">
        <f ref="B180:B180" t="array">PO.ESP.Affinity.Rate(INDEX(DWS_CurveQ,9),INDEX(DWS_VsdF,1),DWS_Fbase)</f>
        <v>2666.6666666666665</v>
      </c>
      <c r="C180" s="0" cm="1">
        <f ref="C180:C180" t="array">DWS_N*PO.ESP.Affinity.Head(INDEX(DWS_CurveH,9),INDEX(DWS_VsdF,1),DWS_Fbase)</f>
        <v>486.75555555555553</v>
      </c>
      <c r="D180" s="0" cm="1">
        <f ref="D180:D180" t="array">PO.ESP.Affinity.Rate(INDEX(DWS_CurveQ,9),INDEX(DWS_VsdF,2),DWS_Fbase)</f>
        <v>3000</v>
      </c>
      <c r="E180" s="0" cm="1">
        <f ref="E180:E180" t="array">DWS_N*PO.ESP.Affinity.Head(INDEX(DWS_CurveH,9),INDEX(DWS_VsdF,2),DWS_Fbase)</f>
        <v>616.0500000000001</v>
      </c>
      <c r="F180" s="0" cm="1">
        <f ref="F180:F180" t="array">PO.ESP.Affinity.Rate(INDEX(DWS_CurveQ,9),INDEX(DWS_VsdF,3),DWS_Fbase)</f>
        <v>3333.3333333333335</v>
      </c>
      <c r="G180" s="0" cm="1">
        <f ref="G180:G180" t="array">DWS_N*PO.ESP.Affinity.Head(INDEX(DWS_CurveH,9),INDEX(DWS_VsdF,3),DWS_Fbase)</f>
        <v>760.5555555555558</v>
      </c>
      <c r="H180" s="0" cm="1">
        <f ref="H180:H180" t="array">PO.ESP.Affinity.Rate(INDEX(DWS_CurveQ,9),INDEX(DWS_VsdF,4),DWS_Fbase)</f>
        <v>3666.6666666666665</v>
      </c>
      <c r="I180" s="0" cm="1">
        <f ref="I180:I180" t="array">DWS_N*PO.ESP.Affinity.Head(INDEX(DWS_CurveH,9),INDEX(DWS_VsdF,4),DWS_Fbase)</f>
        <v>920.2722222222221</v>
      </c>
      <c r="J180" s="0" cm="1">
        <f ref="J180:J180" t="array">PO.ESP.Affinity.Rate(INDEX(DWS_CurveQ,9),INDEX(DWS_VsdF,5),DWS_Fbase)</f>
        <v>4000</v>
      </c>
      <c r="K180" s="0" cm="1">
        <f ref="K180:K180" t="array">DWS_N*PO.ESP.Affinity.Head(INDEX(DWS_CurveH,9),INDEX(DWS_VsdF,5),DWS_Fbase)</f>
        <v>1095.2</v>
      </c>
      <c r="L180" s="0" cm="1">
        <f ref="L180:L180" t="array">PO.ESP.Affinity.Rate(INDEX(DWS_CurveQ,9),INDEX(DWS_VsdF,6),DWS_Fbase)</f>
        <v>4333.333333333333</v>
      </c>
      <c r="M180" s="0" cm="1">
        <f ref="M180:M180" t="array">DWS_N*PO.ESP.Affinity.Head(INDEX(DWS_CurveH,9),INDEX(DWS_VsdF,6),DWS_Fbase)</f>
        <v>1285.3388888888887</v>
      </c>
      <c r="N180" s="0" cm="1">
        <f ref="N180:N180" t="array">PO.ESP.Affinity.Rate(INDEX(DWS_CurveQ,9),INDEX(DWS_VsdF,7),DWS_Fbase)</f>
        <v>4666.666666666667</v>
      </c>
      <c r="O180" s="0" cm="1">
        <f ref="O180:O180" t="array">DWS_N*PO.ESP.Affinity.Head(INDEX(DWS_CurveH,9),INDEX(DWS_VsdF,7),DWS_Fbase)</f>
        <v>1490.6888888888893</v>
      </c>
    </row>
    <row r="181">
      <c r="B181" s="0" cm="1">
        <f ref="B181:B181" t="array">PO.ESP.Affinity.Rate(INDEX(DWS_CurveQ,10),INDEX(DWS_VsdF,1),DWS_Fbase)</f>
        <v>3000</v>
      </c>
      <c r="C181" s="0" cm="1">
        <f ref="C181:C181" t="array">DWS_N*PO.ESP.Affinity.Head(INDEX(DWS_CurveH,10),INDEX(DWS_VsdF,1),DWS_Fbase)</f>
        <v>378.2222222222222</v>
      </c>
      <c r="D181" s="0" cm="1">
        <f ref="D181:D181" t="array">PO.ESP.Affinity.Rate(INDEX(DWS_CurveQ,10),INDEX(DWS_VsdF,2),DWS_Fbase)</f>
        <v>3375</v>
      </c>
      <c r="E181" s="0" cm="1">
        <f ref="E181:E181" t="array">DWS_N*PO.ESP.Affinity.Head(INDEX(DWS_CurveH,10),INDEX(DWS_VsdF,2),DWS_Fbase)</f>
        <v>478.6875</v>
      </c>
      <c r="F181" s="0" cm="1">
        <f ref="F181:F181" t="array">PO.ESP.Affinity.Rate(INDEX(DWS_CurveQ,10),INDEX(DWS_VsdF,3),DWS_Fbase)</f>
        <v>3750</v>
      </c>
      <c r="G181" s="0" cm="1">
        <f ref="G181:G181" t="array">DWS_N*PO.ESP.Affinity.Head(INDEX(DWS_CurveH,10),INDEX(DWS_VsdF,3),DWS_Fbase)</f>
        <v>590.9722222222223</v>
      </c>
      <c r="H181" s="0" cm="1">
        <f ref="H181:H181" t="array">PO.ESP.Affinity.Rate(INDEX(DWS_CurveQ,10),INDEX(DWS_VsdF,4),DWS_Fbase)</f>
        <v>4125</v>
      </c>
      <c r="I181" s="0" cm="1">
        <f ref="I181:I181" t="array">DWS_N*PO.ESP.Affinity.Head(INDEX(DWS_CurveH,10),INDEX(DWS_VsdF,4),DWS_Fbase)</f>
        <v>715.0763888888888</v>
      </c>
      <c r="J181" s="0" cm="1">
        <f ref="J181:J181" t="array">PO.ESP.Affinity.Rate(INDEX(DWS_CurveQ,10),INDEX(DWS_VsdF,5),DWS_Fbase)</f>
        <v>4500</v>
      </c>
      <c r="K181" s="0" cm="1">
        <f ref="K181:K181" t="array">DWS_N*PO.ESP.Affinity.Head(INDEX(DWS_CurveH,10),INDEX(DWS_VsdF,5),DWS_Fbase)</f>
        <v>851</v>
      </c>
      <c r="L181" s="0" cm="1">
        <f ref="L181:L181" t="array">PO.ESP.Affinity.Rate(INDEX(DWS_CurveQ,10),INDEX(DWS_VsdF,6),DWS_Fbase)</f>
        <v>4875</v>
      </c>
      <c r="M181" s="0" cm="1">
        <f ref="M181:M181" t="array">DWS_N*PO.ESP.Affinity.Head(INDEX(DWS_CurveH,10),INDEX(DWS_VsdF,6),DWS_Fbase)</f>
        <v>998.7430555555553</v>
      </c>
      <c r="N181" s="0" cm="1">
        <f ref="N181:N181" t="array">PO.ESP.Affinity.Rate(INDEX(DWS_CurveQ,10),INDEX(DWS_VsdF,7),DWS_Fbase)</f>
        <v>5250</v>
      </c>
      <c r="O181" s="0" cm="1">
        <f ref="O181:O181" t="array">DWS_N*PO.ESP.Affinity.Head(INDEX(DWS_CurveH,10),INDEX(DWS_VsdF,7),DWS_Fbase)</f>
        <v>1158.3055555555557</v>
      </c>
    </row>
    <row r="182">
      <c r="B182" s="0" cm="1">
        <f ref="B182:B182" t="array">PO.ESP.Affinity.Rate(INDEX(DWS_CurveQ,11),INDEX(DWS_VsdF,1),DWS_Fbase)</f>
        <v>3333.3333333333335</v>
      </c>
      <c r="C182" s="0" cm="1">
        <f ref="C182:C182" t="array">DWS_N*PO.ESP.Affinity.Head(INDEX(DWS_CurveH,11),INDEX(DWS_VsdF,1),DWS_Fbase)</f>
        <v>254.88888888888886</v>
      </c>
      <c r="D182" s="0" cm="1">
        <f ref="D182:D182" t="array">PO.ESP.Affinity.Rate(INDEX(DWS_CurveQ,11),INDEX(DWS_VsdF,2),DWS_Fbase)</f>
        <v>3750</v>
      </c>
      <c r="E182" s="0" cm="1">
        <f ref="E182:E182" t="array">DWS_N*PO.ESP.Affinity.Head(INDEX(DWS_CurveH,11),INDEX(DWS_VsdF,2),DWS_Fbase)</f>
        <v>322.59375</v>
      </c>
      <c r="F182" s="0" cm="1">
        <f ref="F182:F182" t="array">PO.ESP.Affinity.Rate(INDEX(DWS_CurveQ,11),INDEX(DWS_VsdF,3),DWS_Fbase)</f>
        <v>4166.666666666667</v>
      </c>
      <c r="G182" s="0" cm="1">
        <f ref="G182:G182" t="array">DWS_N*PO.ESP.Affinity.Head(INDEX(DWS_CurveH,11),INDEX(DWS_VsdF,3),DWS_Fbase)</f>
        <v>398.26388888888897</v>
      </c>
      <c r="H182" s="0" cm="1">
        <f ref="H182:H182" t="array">PO.ESP.Affinity.Rate(INDEX(DWS_CurveQ,11),INDEX(DWS_VsdF,4),DWS_Fbase)</f>
        <v>4583.333333333333</v>
      </c>
      <c r="I182" s="0" cm="1">
        <f ref="I182:I182" t="array">DWS_N*PO.ESP.Affinity.Head(INDEX(DWS_CurveH,11),INDEX(DWS_VsdF,4),DWS_Fbase)</f>
        <v>481.8993055555555</v>
      </c>
      <c r="J182" s="0" cm="1">
        <f ref="J182:J182" t="array">PO.ESP.Affinity.Rate(INDEX(DWS_CurveQ,11),INDEX(DWS_VsdF,5),DWS_Fbase)</f>
        <v>5000</v>
      </c>
      <c r="K182" s="0" cm="1">
        <f ref="K182:K182" t="array">DWS_N*PO.ESP.Affinity.Head(INDEX(DWS_CurveH,11),INDEX(DWS_VsdF,5),DWS_Fbase)</f>
        <v>573.5</v>
      </c>
      <c r="L182" s="0" cm="1">
        <f ref="L182:L182" t="array">PO.ESP.Affinity.Rate(INDEX(DWS_CurveQ,11),INDEX(DWS_VsdF,6),DWS_Fbase)</f>
        <v>5416.666666666667</v>
      </c>
      <c r="M182" s="0" cm="1">
        <f ref="M182:M182" t="array">DWS_N*PO.ESP.Affinity.Head(INDEX(DWS_CurveH,11),INDEX(DWS_VsdF,6),DWS_Fbase)</f>
        <v>673.0659722222221</v>
      </c>
      <c r="N182" s="0" cm="1">
        <f ref="N182:N182" t="array">PO.ESP.Affinity.Rate(INDEX(DWS_CurveQ,11),INDEX(DWS_VsdF,7),DWS_Fbase)</f>
        <v>5833.333333333333</v>
      </c>
      <c r="O182" s="0" cm="1">
        <f ref="O182:O182" t="array">DWS_N*PO.ESP.Affinity.Head(INDEX(DWS_CurveH,11),INDEX(DWS_VsdF,7),DWS_Fbase)</f>
        <v>780.5972222222223</v>
      </c>
    </row>
    <row r="183">
      <c r="B183" s="0" cm="1">
        <f ref="B183:B183" t="array">PO.ESP.Affinity.Rate(INDEX(DWS_CurveQ,12),INDEX(DWS_VsdF,1),DWS_Fbase)</f>
        <v>3666.6666666666665</v>
      </c>
      <c r="C183" s="0" cm="1">
        <f ref="C183:C183" t="array">DWS_N*PO.ESP.Affinity.Head(INDEX(DWS_CurveH,12),INDEX(DWS_VsdF,1),DWS_Fbase)</f>
        <v>118.39999999999999</v>
      </c>
      <c r="D183" s="0" cm="1">
        <f ref="D183:D183" t="array">PO.ESP.Affinity.Rate(INDEX(DWS_CurveQ,12),INDEX(DWS_VsdF,2),DWS_Fbase)</f>
        <v>4125</v>
      </c>
      <c r="E183" s="0" cm="1">
        <f ref="E183:E183" t="array">DWS_N*PO.ESP.Affinity.Head(INDEX(DWS_CurveH,12),INDEX(DWS_VsdF,2),DWS_Fbase)</f>
        <v>149.85</v>
      </c>
      <c r="F183" s="0" cm="1">
        <f ref="F183:F183" t="array">PO.ESP.Affinity.Rate(INDEX(DWS_CurveQ,12),INDEX(DWS_VsdF,3),DWS_Fbase)</f>
        <v>4583.333333333333</v>
      </c>
      <c r="G183" s="0" cm="1">
        <f ref="G183:G183" t="array">DWS_N*PO.ESP.Affinity.Head(INDEX(DWS_CurveH,12),INDEX(DWS_VsdF,3),DWS_Fbase)</f>
        <v>185.00000000000003</v>
      </c>
      <c r="H183" s="0" cm="1">
        <f ref="H183:H183" t="array">PO.ESP.Affinity.Rate(INDEX(DWS_CurveQ,12),INDEX(DWS_VsdF,4),DWS_Fbase)</f>
        <v>5041.666666666667</v>
      </c>
      <c r="I183" s="0" cm="1">
        <f ref="I183:I183" t="array">DWS_N*PO.ESP.Affinity.Head(INDEX(DWS_CurveH,12),INDEX(DWS_VsdF,4),DWS_Fbase)</f>
        <v>223.85</v>
      </c>
      <c r="J183" s="0" cm="1">
        <f ref="J183:J183" t="array">PO.ESP.Affinity.Rate(INDEX(DWS_CurveQ,12),INDEX(DWS_VsdF,5),DWS_Fbase)</f>
        <v>5500</v>
      </c>
      <c r="K183" s="0" cm="1">
        <f ref="K183:K183" t="array">DWS_N*PO.ESP.Affinity.Head(INDEX(DWS_CurveH,12),INDEX(DWS_VsdF,5),DWS_Fbase)</f>
        <v>266.40000000000003</v>
      </c>
      <c r="L183" s="0" cm="1">
        <f ref="L183:L183" t="array">PO.ESP.Affinity.Rate(INDEX(DWS_CurveQ,12),INDEX(DWS_VsdF,6),DWS_Fbase)</f>
        <v>5958.333333333333</v>
      </c>
      <c r="M183" s="0" cm="1">
        <f ref="M183:M183" t="array">DWS_N*PO.ESP.Affinity.Head(INDEX(DWS_CurveH,12),INDEX(DWS_VsdF,6),DWS_Fbase)</f>
        <v>312.65</v>
      </c>
      <c r="N183" s="0" cm="1">
        <f ref="N183:N183" t="array">PO.ESP.Affinity.Rate(INDEX(DWS_CurveQ,12),INDEX(DWS_VsdF,7),DWS_Fbase)</f>
        <v>6416.666666666667</v>
      </c>
      <c r="O183" s="0" cm="1">
        <f ref="O183:O183" t="array">DWS_N*PO.ESP.Affinity.Head(INDEX(DWS_CurveH,12),INDEX(DWS_VsdF,7),DWS_Fbase)</f>
        <v>362.6000000000001</v>
      </c>
    </row>
    <row r="185">
      <c r="A185" s="7" t="s">
        <v>218</v>
      </c>
      <c r="B185" s="7"/>
      <c r="C185" s="7"/>
      <c r="D185" s="7"/>
      <c r="E185" s="7"/>
    </row>
    <row r="186">
      <c r="A186" s="1" t="s">
        <v>157</v>
      </c>
      <c r="B186" s="1" t="s">
        <v>219</v>
      </c>
      <c r="C186" s="1" t="s">
        <v>220</v>
      </c>
      <c r="D186" s="1" t="s">
        <v>221</v>
      </c>
      <c r="E186" s="1" t="s">
        <v>222</v>
      </c>
    </row>
    <row r="187">
      <c r="A187" s="0">
        <f>INDEX(DWS_VsdF,1)</f>
        <v>40</v>
      </c>
      <c r="B187" s="0">
        <f>DWS_Qmin*A187/DWS_Fbase</f>
        <v>1466.6666666666667</v>
      </c>
      <c r="C187" s="0" cm="1">
        <f ref="C187:C187" t="array">DWS_N*PO.ESP.Curve.HeadAtSpeed(B187,A187,DWS_Fbase,DWS_CurveQ,DWS_CurveH)</f>
        <v>763.3611229976915</v>
      </c>
      <c r="D187" s="0">
        <f>DWS_Qmax*A187/DWS_Fbase</f>
        <v>2533.3333333333335</v>
      </c>
      <c r="E187" s="0" cm="1">
        <f ref="E187:E187" t="array">DWS_N*PO.ESP.Curve.HeadAtSpeed(D187,A187,DWS_Fbase,DWS_CurveQ,DWS_CurveH)</f>
        <v>526.5798108524771</v>
      </c>
    </row>
    <row r="188">
      <c r="A188" s="0">
        <f>INDEX(DWS_VsdF,2)</f>
        <v>45</v>
      </c>
      <c r="B188" s="0">
        <f>DWS_Qmin*A188/DWS_Fbase</f>
        <v>1650</v>
      </c>
      <c r="C188" s="0" cm="1">
        <f ref="C188:C188" t="array">DWS_N*PO.ESP.Curve.HeadAtSpeed(B188,A188,DWS_Fbase,DWS_CurveQ,DWS_CurveH)</f>
        <v>966.1289212939533</v>
      </c>
      <c r="D188" s="0">
        <f>DWS_Qmax*A188/DWS_Fbase</f>
        <v>2850</v>
      </c>
      <c r="E188" s="0" cm="1">
        <f ref="E188:E188" t="array">DWS_N*PO.ESP.Curve.HeadAtSpeed(D188,A188,DWS_Fbase,DWS_CurveQ,DWS_CurveH)</f>
        <v>666.4525731101662</v>
      </c>
    </row>
    <row r="189">
      <c r="A189" s="0">
        <f>INDEX(DWS_VsdF,3)</f>
        <v>50</v>
      </c>
      <c r="B189" s="0">
        <f>DWS_Qmin*A189/DWS_Fbase</f>
        <v>1833.3333333333333</v>
      </c>
      <c r="C189" s="0" cm="1">
        <f ref="C189:C189" t="array">DWS_N*PO.ESP.Curve.HeadAtSpeed(B189,A189,DWS_Fbase,DWS_CurveQ,DWS_CurveH)</f>
        <v>1192.7517546838933</v>
      </c>
      <c r="D189" s="0">
        <f>DWS_Qmax*A189/DWS_Fbase</f>
        <v>3166.6666666666665</v>
      </c>
      <c r="E189" s="0" cm="1">
        <f ref="E189:E189" t="array">DWS_N*PO.ESP.Curve.HeadAtSpeed(D189,A189,DWS_Fbase,DWS_CurveQ,DWS_CurveH)</f>
        <v>822.7809544569955</v>
      </c>
    </row>
    <row r="190">
      <c r="A190" s="0">
        <f>INDEX(DWS_VsdF,4)</f>
        <v>55</v>
      </c>
      <c r="B190" s="0">
        <f>DWS_Qmin*A190/DWS_Fbase</f>
        <v>2016.6666666666667</v>
      </c>
      <c r="C190" s="0" cm="1">
        <f ref="C190:C190" t="array">DWS_N*PO.ESP.Curve.HeadAtSpeed(B190,A190,DWS_Fbase,DWS_CurveQ,DWS_CurveH)</f>
        <v>1443.2296231675105</v>
      </c>
      <c r="D190" s="0">
        <f>DWS_Qmax*A190/DWS_Fbase</f>
        <v>3483.3333333333335</v>
      </c>
      <c r="E190" s="0" cm="1">
        <f ref="E190:E190" t="array">DWS_N*PO.ESP.Curve.HeadAtSpeed(D190,A190,DWS_Fbase,DWS_CurveQ,DWS_CurveH)</f>
        <v>995.5649548929644</v>
      </c>
    </row>
    <row r="191">
      <c r="A191" s="0">
        <f>INDEX(DWS_VsdF,5)</f>
        <v>60</v>
      </c>
      <c r="B191" s="0">
        <f>DWS_Qmin*A191/DWS_Fbase</f>
        <v>2200</v>
      </c>
      <c r="C191" s="0" cm="1">
        <f ref="C191:C191" t="array">DWS_N*PO.ESP.Curve.HeadAtSpeed(B191,A191,DWS_Fbase,DWS_CurveQ,DWS_CurveH)</f>
        <v>1717.5625267448058</v>
      </c>
      <c r="D191" s="0">
        <f>DWS_Qmax*A191/DWS_Fbase</f>
        <v>3800</v>
      </c>
      <c r="E191" s="0" cm="1">
        <f ref="E191:E191" t="array">DWS_N*PO.ESP.Curve.HeadAtSpeed(D191,A191,DWS_Fbase,DWS_CurveQ,DWS_CurveH)</f>
        <v>1184.8045744180733</v>
      </c>
    </row>
    <row r="192">
      <c r="A192" s="0">
        <f>INDEX(DWS_VsdF,6)</f>
        <v>65</v>
      </c>
      <c r="B192" s="0">
        <f>DWS_Qmin*A192/DWS_Fbase</f>
        <v>2383.3333333333335</v>
      </c>
      <c r="C192" s="0" cm="1">
        <f ref="C192:C192" t="array">DWS_N*PO.ESP.Curve.HeadAtSpeed(B192,A192,DWS_Fbase,DWS_CurveQ,DWS_CurveH)</f>
        <v>2015.7504654157788</v>
      </c>
      <c r="D192" s="0">
        <f>DWS_Qmax*A192/DWS_Fbase</f>
        <v>4116.666666666667</v>
      </c>
      <c r="E192" s="0" cm="1">
        <f ref="E192:E192" t="array">DWS_N*PO.ESP.Curve.HeadAtSpeed(D192,A192,DWS_Fbase,DWS_CurveQ,DWS_CurveH)</f>
        <v>1390.499813032322</v>
      </c>
    </row>
    <row r="193">
      <c r="A193" s="0">
        <f>INDEX(DWS_VsdF,7)</f>
        <v>70</v>
      </c>
      <c r="B193" s="0">
        <f>DWS_Qmin*A193/DWS_Fbase</f>
        <v>2566.6666666666665</v>
      </c>
      <c r="C193" s="0" cm="1">
        <f ref="C193:C193" t="array">DWS_N*PO.ESP.Curve.HeadAtSpeed(B193,A193,DWS_Fbase,DWS_CurveQ,DWS_CurveH)</f>
        <v>2337.7934391804306</v>
      </c>
      <c r="D193" s="0">
        <f>DWS_Qmax*A193/DWS_Fbase</f>
        <v>4433.333333333333</v>
      </c>
      <c r="E193" s="0" cm="1">
        <f ref="E193:E193" t="array">DWS_N*PO.ESP.Curve.HeadAtSpeed(D193,A193,DWS_Fbase,DWS_CurveQ,DWS_CurveH)</f>
        <v>1612.6506707357112</v>
      </c>
    </row>
  </sheetData>
  <mergeCells>
    <mergeCell ref="A2:G2"/>
    <mergeCell ref="A4:C4"/>
    <mergeCell ref="A34:E34"/>
    <mergeCell ref="A90:G90"/>
    <mergeCell ref="A145:E145"/>
    <mergeCell ref="A160:E160"/>
    <mergeCell ref="A169:G169"/>
    <mergeCell ref="A185:E185"/>
  </mergeCells>
  <headerFooter/>
</worksheet>
</file>

<file path=EPPlusLicense.txt>This workbook was created with the EPPlus library, licensed to PetroleumOffice under the Polyform Noncommercial license, see https://polyformproject.org/licenses/noncommercial/1.0.0
For more information about EPPlus, see https://epplussoftware.com/

</file>

<file path=docProps/app.xml><?xml version="1.0" encoding="utf-8"?>
<Properties xmlns:vt="http://schemas.openxmlformats.org/officeDocument/2006/docPropsVTypes" xmlns="http://schemas.openxmlformats.org/officeDocument/2006/extended-properties">
  <Application>EPPlus</Application>
  <AppVersion>8.7</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2020-01-01T00:00:00Z</dcterms:created>
  <dcterms:modified xsi:type="dcterms:W3CDTF">2020-01-01T00:00:00Z</dcterms:modified>
  <cp:keywords>EPPlus noncommercial use</cp:keywords>
  <dc:description>This workbook has been created with EPPlus licensed to PetroleumOffice under The Polyform Noncommercial License: See https://polyformproject.org/licenses/noncommercial/1.0.0</dc:description>
  <dc:creator>PetroleumOffice</dc:creator>
</cp:coreProperties>
</file>

<file path=docProps/custom.xml><?xml version="1.0" encoding="utf-8"?>
<Properties xmlns:vt="http://schemas.openxmlformats.org/officeDocument/2006/docPropsVTypes" xmlns="http://schemas.openxmlformats.org/officeDocument/2006/custom-properties"/>
</file>