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tyles+xml" PartName="/xl/styles.xml"/>
  <Override ContentType="application/vnd.openxmlformats-officedocument.drawing+xml" PartName="/xl/drawings/drawing3.xml"/>
  <Override ContentType="application/vnd.openxmlformats-officedocument.drawingml.chart+xml" PartName="/xl/charts/chart1.xml"/>
  <Override ContentType="application/vnd.openxmlformats-officedocument.drawing+xml" PartName="/xl/drawings/drawing4.xml"/>
  <Override ContentType="application/vnd.openxmlformats-officedocument.drawingml.chart+xml" PartName="/xl/charts/chart2.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table+xml" PartName="/xl/tables/table1.xml"/>
  <Override ContentType="application/vnd.openxmlformats-officedocument.spreadsheetml.sheetMetadata+xml" PartName="/xl/metadata.xml"/>
  <Override ContentType="application/vnd.ms-excel.rdrichvaluetypes+xml" PartName="/xl/richData/rdRichValueTypes.xml"/>
  <Override ContentType="application/vnd.ms-excel.rdrichvaluestructure+xml" PartName="/xl/richData/rdrichvaluestructure.xml"/>
  <Override ContentType="application/vnd.ms-excel.rdrichvalue+xml" PartName="/xl/richData/rdrichvalue.xml"/>
  <Override ContentType="application/vnd.ms-excel.rdarray+xml" PartName="/xl/richData/rdarray.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Assumptions" sheetId="2" r:id="rId2"/>
    <sheet name="Scenarios" sheetId="3" r:id="rId3"/>
    <sheet name="Cash Flow" sheetId="4" r:id="rId4"/>
  </sheets>
  <definedNames>
    <definedName name="CF_DC">'Cash Flow'!$D$8</definedName>
    <definedName name="CF_Disc">'Cash Flow'!$D$14</definedName>
    <definedName name="CF_EUR">'Cash Flow'!$J$9</definedName>
    <definedName name="CF_Gas">'Cash Flow'!$D$7</definedName>
    <definedName name="CF_IRR">'Cash Flow'!$J$6</definedName>
    <definedName name="CF_Life">'Cash Flow'!$J$11</definedName>
    <definedName name="CF_LOE">'Cash Flow'!$D$9</definedName>
    <definedName name="CF_NetCash">'Cash Flow'!$J$10</definedName>
    <definedName name="CF_NPV">'Cash Flow'!$J$5</definedName>
    <definedName name="CF_NRI">'Cash Flow'!$D$13</definedName>
    <definedName name="CF_Oil">'Cash Flow'!$D$6</definedName>
    <definedName name="CF_Payout">'Cash Flow'!$J$7</definedName>
    <definedName name="CF_PVI">'Cash Flow'!$J$8</definedName>
    <definedName name="CF_ReconNet">'Cash Flow'!$J$14</definedName>
    <definedName name="CF_ReconNpv">'Cash Flow'!$J$13</definedName>
    <definedName name="CF_Row">'Cash Flow'!$D$5</definedName>
    <definedName name="CF_TC">'Cash Flow'!$D$10</definedName>
    <definedName name="CF_Wells">'Cash Flow'!$D$11</definedName>
    <definedName name="CF_WI">'Cash Flow'!$D$12</definedName>
    <definedName name="EC_AdVal">Assumptions!$B$30</definedName>
    <definedName name="EC_b">Assumptions!$B$12</definedName>
    <definedName name="EC_DC">Assumptions!$B$33</definedName>
    <definedName name="EC_Dei">Assumptions!$B$13</definedName>
    <definedName name="EC_Disc">Assumptions!$B$40</definedName>
    <definedName name="EC_Dterm">Assumptions!$B$14</definedName>
    <definedName name="EC_Esc">Assumptions!$B$23</definedName>
    <definedName name="EC_FirstOnline">Assumptions!$B$6</definedName>
    <definedName name="EC_Gas">Assumptions!$B$21</definedName>
    <definedName name="EC_GasDiff">Assumptions!$B$22</definedName>
    <definedName name="EC_Gath">Assumptions!$B$36</definedName>
    <definedName name="EC_GOR">Assumptions!$B$15</definedName>
    <definedName name="EC_Hurdle">Assumptions!$B$41</definedName>
    <definedName name="EC_IP">Assumptions!$B$11</definedName>
    <definedName name="EC_LifeCap">Assumptions!$B$8</definedName>
    <definedName name="EC_LOE">Assumptions!$B$34</definedName>
    <definedName name="EC_LOEVar">Assumptions!$B$35</definedName>
    <definedName name="EC_NRI">Assumptions!$B$27</definedName>
    <definedName name="EC_Oil">Assumptions!$B$19</definedName>
    <definedName name="EC_OilDiff">Assumptions!$B$20</definedName>
    <definedName name="EC_PA">Assumptions!$B$37</definedName>
    <definedName name="EC_Pick">Scenarios!$C$2</definedName>
    <definedName name="EC_SevGas">Assumptions!$B$29</definedName>
    <definedName name="EC_SevOil">Assumptions!$B$28</definedName>
    <definedName name="EC_Spacing">Assumptions!$B$7</definedName>
    <definedName name="EC_TC">Assumptions!$B$16</definedName>
    <definedName name="EC_Wells">Assumptions!$B$5</definedName>
    <definedName name="EC_WI">Assumptions!$B$26</definedName>
    <definedName name="MODEL.Annual" comment="The program by year for one scenario, a year_count × 11 matrix: year, average wells producing, oil (Mbbl), gas (MMcf), net revenue, severance and ad valorem, operating cost, capital, plugging, net cash and discounted net cash ($MM)">_xlfn.LAMBDA(_xlpm.oil_price,_xlpm.gas_price,_xlpm.dc_mm,_xlpm.loe_fixed,_xlpm.tc_factor,_xlpm.well_count,_xlpm.wi_frac,_xlpm.nri_frac,_xlpm.disc_rate,_xlpm.year_count,_xlfn.LET(_xlpm.monthly_matrix,MODEL.Monthly(_xlpm.oil_price,_xlpm.gas_price,_xlpm.dc_mm,_xlpm.loe_fixed,_xlpm.tc_factor,_xlpm.well_count,_xlpm.wi_frac,_xlpm.nri_frac),_xlpm.month_no,_xlfn.CHOOSECOLS(_xlpm.monthly_matrix,1),_xlpm.net_cash,_xlfn.CHOOSECOLS(_xlpm.monthly_matrix,5)-_xlfn.CHOOSECOLS(_xlpm.monthly_matrix,6)-_xlfn.CHOOSECOLS(_xlpm.monthly_matrix,7)-_xlfn.CHOOSECOLS(_xlpm.monthly_matrix,8)-_xlfn.CHOOSECOLS(_xlpm.monthly_matrix,9),_xlpm.scaled,_xlfn.HSTACK(_xlfn.CHOOSECOLS(_xlpm.monthly_matrix,2)/12,_xlfn.CHOOSECOLS(_xlpm.monthly_matrix,3)/1000,_xlfn.CHOOSECOLS(_xlpm.monthly_matrix,4)/1000,_xlfn.CHOOSECOLS(_xlpm.monthly_matrix,5)/1000000,_xlfn.CHOOSECOLS(_xlpm.monthly_matrix,6)/1000000,_xlfn.CHOOSECOLS(_xlpm.monthly_matrix,7)/1000000,_xlfn.CHOOSECOLS(_xlpm.monthly_matrix,8)/1000000,_xlfn.CHOOSECOLS(_xlpm.monthly_matrix,9)/1000000,_xlpm.net_cash/1000000,_xlpm.net_cash/(1+_xlpm.disc_rate)^(_xlpm.month_no/12)/1000000),_xlpm.in_year,(_xlpm.month_no&gt;12*(_xlfn.SEQUENCE(1,_xlpm.year_count)-1))*(_xlpm.month_no&lt;=12*_xlfn.SEQUENCE(1,_xlpm.year_count)),_xlfn.HSTACK(_xlfn.SEQUENCE(_xlpm.year_count),MMULT(TRANSPOSE(_xlpm.in_year),_xlpm.scaled))))</definedName>
    <definedName name="MODEL.Capex" comment="Monthly capital ($) for wells drilled at dc_mm $MM each, one month before each comes online">_xlfn.LAMBDA(_xlpm.dc_mm,_xlpm.well_count,_xlpm.wi_frac,_xlfn.LET(_xlpm.month,_xlfn.SEQUENCE(EC_FirstOnline+(_xlpm.well_count-1)*EC_Spacing+EC_LifeCap+1),_xlpm.online,EC_FirstOnline+(_xlfn.SEQUENCE(1,_xlpm.well_count)-1)*EC_Spacing,_xlpm.dc_mm*1000000*_xlpm.wi_frac*MMULT((_xlpm.month=_xlpm.online-1)*1,_xlfn.SEQUENCE(_xlpm.well_count,1,1,0))))</definedName>
    <definedName name="MODEL.CashFlow" comment="Monthly net cash flow ($) of the program for one scenario's prices, D&amp;C, fixed LOE, type-curve factor, well count and interests">_xlfn.LAMBDA(_xlpm.oil_price,_xlpm.gas_price,_xlpm.dc_mm,_xlpm.loe_fixed,_xlpm.tc_factor,_xlpm.well_count,_xlpm.wi_frac,_xlpm.nri_frac,_xlfn.LET(_xlpm.monthly_matrix,MODEL.Monthly(_xlpm.oil_price,_xlpm.gas_price,_xlpm.dc_mm,_xlpm.loe_fixed,_xlpm.tc_factor,_xlpm.well_count,_xlpm.wi_frac,_xlpm.nri_frac),_xlfn.CHOOSECOLS(_xlpm.monthly_matrix,5)-_xlfn.CHOOSECOLS(_xlpm.monthly_matrix,6)-_xlfn.CHOOSECOLS(_xlpm.monthly_matrix,7)-_xlfn.CHOOSECOLS(_xlpm.monthly_matrix,8)-_xlfn.CHOOSECOLS(_xlpm.monthly_matrix,9)))</definedName>
    <definedName name="MODEL.EUR" comment="Oil EUR of one well (bbl) over its economic life">_xlfn.LAMBDA(_xlpm.oil_price,_xlpm.gas_price,_xlpm.loe_fixed,_xlpm.tc_factor,_xlpm.wi_frac,_xlpm.nri_frac,_xlfn.LET(_xlpm.q_init,EC_IP*_xlpm.tc_factor,_xlpm.d_init,PO.ECON.Arps.Di(EC_b,EC_Dei),_xlpm.d_term,-LN(1-EC_Dterm),_xlpm.life_months,MODEL.Life(_xlpm.q_init,_xlpm.oil_price,_xlpm.gas_price,_xlpm.loe_fixed,_xlpm.wi_frac,_xlpm.nri_frac),IF(_xlpm.life_months=0,0,SUM(PO.ECON.Arps.Rate(_xlpm.q_init,EC_b,_xlpm.d_init,_xlpm.d_term,(_xlfn.SEQUENCE(_xlpm.life_months)-0.5)/12))*30.4375)))</definedName>
    <definedName name="MODEL.Life" comment="Producing life of one well in months: until the operating margin reaches zero, capped at EC_LifeCap">_xlfn.LAMBDA(_xlpm.q_init,_xlpm.oil_price,_xlpm.gas_price,_xlpm.loe_fixed,_xlpm.wi_frac,_xlpm.nri_frac,_xlfn.LET(_xlpm.d_init,PO.ECON.Arps.Di(EC_b,EC_Dei),_xlpm.d_term,-LN(1-EC_Dterm),_xlpm.margin,(_xlpm.oil_price-EC_OilDiff)*_xlpm.nri_frac*(1-EC_SevOil-EC_AdVal)+EC_GOR/1000*((_xlpm.gas_price-EC_GasDiff)*_xlpm.nri_frac*(1-EC_SevGas-EC_AdVal)-EC_Gath*_xlpm.wi_frac)-EC_LOEVar*_xlpm.wi_frac,IF(_xlpm.margin&lt;=0,0,IF(_xlpm.loe_fixed&lt;=0,EC_LifeCap,MIN(EC_LifeCap,INT(12*PO.ECON.Arps.Time(_xlpm.q_init,EC_b,_xlpm.d_init,_xlpm.d_term,_xlpm.loe_fixed*_xlpm.wi_frac/(30.4375*_xlpm.margin))))))))</definedName>
    <definedName name="MODEL.Monthly" comment="The program month by month for one scenario: a months × 9 matrix of month, wells producing, oil (bbl), gas (Mcf), net revenue, severance and ad valorem, operating cost, capital and plugging ($)">_xlfn.LAMBDA(_xlpm.oil_price,_xlpm.gas_price,_xlpm.dc_mm,_xlpm.loe_fixed,_xlpm.tc_factor,_xlpm.well_count,_xlpm.wi_frac,_xlpm.nri_frac,_xlfn.LET(_xlpm.q_init,EC_IP*_xlpm.tc_factor,_xlpm.d_init,PO.ECON.Arps.Di(EC_b,EC_Dei),_xlpm.d_term,-LN(1-EC_Dterm),_xlpm.life_months,MODEL.Life(_xlpm.q_init,_xlpm.oil_price,_xlpm.gas_price,_xlpm.loe_fixed,_xlpm.wi_frac,_xlpm.nri_frac),_xlpm.month,_xlfn.SEQUENCE(EC_FirstOnline+(_xlpm.well_count-1)*EC_Spacing+EC_LifeCap+1),_xlpm.online,EC_FirstOnline+(_xlfn.SEQUENCE(1,_xlpm.well_count)-1)*EC_Spacing,_xlpm.well_age,_xlpm.month-_xlpm.online+1,_xlpm.producing,(_xlpm.well_age&gt;=1)*(_xlpm.well_age&lt;=_xlpm.life_months),_xlpm.t_years,((_xlpm.well_age&gt;=1)*_xlpm.well_age+(_xlpm.well_age&lt;1)-0.5)/12,_xlpm.ones_col,_xlfn.SEQUENCE(_xlpm.well_count,1,1,0),_xlpm.oil_bbl,MMULT(_xlpm.producing*PO.ECON.Arps.Rate(_xlpm.q_init,EC_b,_xlpm.d_init,_xlpm.d_term,_xlpm.t_years)*30.4375,_xlpm.ones_col),_xlpm.wells_on,MMULT(_xlpm.producing,_xlpm.ones_col),_xlpm.gas_mcf,_xlpm.oil_bbl*EC_GOR/1000,_xlpm.escalation,(1+EC_Esc)^((_xlpm.month-1)/12),_xlpm.net_oil,_xlpm.oil_bbl*(_xlpm.oil_price-EC_OilDiff)*_xlpm.escalation*_xlpm.nri_frac,_xlpm.net_gas,_xlpm.gas_mcf*(_xlpm.gas_price-EC_GasDiff)*_xlpm.escalation*_xlpm.nri_frac,_xlpm.taxes,_xlpm.net_oil*EC_SevOil+_xlpm.net_gas*EC_SevGas+(_xlpm.net_oil+_xlpm.net_gas)*EC_AdVal,_xlpm.op_cost,(_xlpm.loe_fixed*_xlpm.wells_on+EC_LOEVar*_xlpm.oil_bbl+EC_Gath*_xlpm.gas_mcf)*_xlpm.wi_frac*_xlpm.escalation,_xlpm.plugging,EC_PA*_xlpm.wi_frac*MMULT((_xlpm.month=_xlpm.online+_xlpm.life_months)*1,_xlpm.ones_col),_xlfn.HSTACK(_xlpm.month,_xlpm.wells_on,_xlpm.oil_bbl,_xlpm.gas_mcf,_xlpm.net_oil+_xlpm.net_gas,_xlpm.taxes,_xlpm.op_cost,MODEL.Capex(_xlpm.dc_mm,_xlpm.well_count,_xlpm.wi_frac),_xlpm.plugging)))</definedName>
    <definedName name="PO.ECON.Arps.Di" comment="Nominal Arps initial decline (per year) from the effective secant decline d_secant and exponent b_exp">_xlfn.LAMBDA(_xlpm.b_exp,_xlpm.d_secant,1/_xlpm.b_exp*((1-_xlpm.d_secant)^(-_xlpm.b_exp)-1))</definedName>
    <definedName name="PO.ECON.Arps.Rate" comment="Modified hyperbolic rate at t_years (scalar or array): hyperbolic until the decline falls to d_term, exponential after">_xlfn.LAMBDA(_xlpm.q_init,_xlpm.b_exp,_xlpm.d_init,_xlpm.d_term,_xlpm.t_years,_xlfn.LET(_xlpm.t_switch,MAX(0,(_xlpm.d_init/_xlpm.d_term-1)/(_xlpm.b_exp*_xlpm.d_init)),_xlpm.q_switch,_xlpm.q_init*(1+_xlpm.b_exp*_xlpm.d_init*_xlpm.t_switch)^(-1/_xlpm.b_exp),(_xlpm.t_years&lt;=_xlpm.t_switch)*_xlpm.q_init*(1+_xlpm.b_exp*_xlpm.d_init*_xlpm.t_years)^(-1/_xlpm.b_exp)+(_xlpm.t_years&gt;_xlpm.t_switch)*_xlpm.q_switch*EXP(-_xlpm.d_term*(_xlpm.t_years-_xlpm.t_switch))))</definedName>
    <definedName name="PO.ECON.Arps.Time" comment="Time (years) for a modified hyperbolic decline to fall from q_init to q_limit">_xlfn.LAMBDA(_xlpm.q_init,_xlpm.b_exp,_xlpm.d_init,_xlpm.d_term,_xlpm.q_limit,_xlfn.LET(_xlpm.t_switch,MAX(0,(_xlpm.d_init/_xlpm.d_term-1)/(_xlpm.b_exp*_xlpm.d_init)),_xlpm.q_switch,_xlpm.q_init*(1+_xlpm.b_exp*_xlpm.d_init*_xlpm.t_switch)^(-1/_xlpm.b_exp),IF(_xlpm.q_limit&gt;=_xlpm.q_init,0,IF(_xlpm.q_limit&gt;=_xlpm.q_switch,((_xlpm.q_init/_xlpm.q_limit)^_xlpm.b_exp-1)/(_xlpm.b_exp*_xlpm.d_init),_xlpm.t_switch+LN(_xlpm.q_switch/_xlpm.q_limit)/_xlpm.d_term))))</definedName>
    <definedName name="PO.ECON.IRR.Monthly" comment="Annualised IRR of monthly cash flows: the first rate, scanning up from -5 %/month, at which NPV falls through zero; &quot;n/a&quot; when it never does">_xlfn.LAMBDA(_xlpm.cash,_xlfn.LET(_xlpm.cash_col,_xlpm.cash,_xlpm.grid_step,0.0025,_xlpm.rates,_xlfn.SEQUENCE(1,201,-0.05,_xlpm.grid_step),_xlpm.periods,_xlfn.SEQUENCE(ROWS(_xlpm.cash_col)),_xlpm.npv_grid,MMULT(TRANSPOSE(_xlpm.cash_col),(1+_xlpm.rates)^(-_xlpm.periods)),_xlpm.first_pos,IFERROR(_xlfn.XMATCH(TRUE,_xlpm.npv_grid&gt;0),0),_xlpm.crossing,IF(_xlpm.first_pos=0,0,IFERROR(_xlfn.XMATCH(1,(_xlfn.SEQUENCE(1,201)&gt;_xlpm.first_pos)*(_xlpm.npv_grid&lt;=0)),0)),IF(_xlpm.crossing=0,"n/a",_xlfn.LET(_xlpm.r_lo,INDEX(_xlpm.rates,1,_xlpm.crossing-1),_xlpm.v_lo,INDEX(_xlpm.npv_grid,1,_xlpm.crossing-1),_xlpm.v_hi,INDEX(_xlpm.npv_grid,1,_xlpm.crossing),_xlpm.r_interp,_xlpm.r_lo+_xlpm.grid_step*_xlpm.v_lo/(_xlpm.v_lo-_xlpm.v_hi),_xlpm.r_refined,IFERROR(IRR(_xlpm.cash_col,_xlpm.r_lo),_xlpm.r_interp),(1+IF(AND(_xlpm.r_refined&gt;=_xlpm.r_lo,_xlpm.r_refined&lt;=_xlpm.r_lo+_xlpm.grid_step),_xlpm.r_refined,_xlpm.r_interp))^12-1))))</definedName>
    <definedName name="PO.ECON.NPV.Monthly" comment="NPV of end-of-month cash flows at an annual discount rate">_xlfn.LAMBDA(_xlpm.cash,_xlpm.annual_rate,NPV((1+_xlpm.annual_rate)^(1/12)-1,_xlpm.cash))</definedName>
    <definedName name="PO.ECON.Payout" comment="Month in which cumulative cash flow climbs back to zero after its low point; &quot;none&quot; if it never does">_xlfn.LAMBDA(_xlpm.cash,_xlfn.LET(_xlpm.cumulative,_xlfn.SCAN(0,_xlpm.cash,_xlfn.LAMBDA(_xlpm.running,_xlpm.flow,_xlpm.running+_xlpm.flow)),_xlpm.trough,MATCH(MIN(_xlpm.cumulative),_xlpm.cumulative,0),IFERROR(MATCH(1,(_xlfn.SEQUENCE(ROWS(_xlpm.cumulative))&gt;_xlpm.trough)*(_xlpm.cumulative&gt;=0),0),"non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<sst xmlns="http://schemas.openxmlformats.org/spreadsheetml/2006/main" count="150" uniqueCount="150">
  <si>
    <t>Well-program economics — one scenario per row</t>
  </si>
  <si>
    <t>What this is</t>
  </si>
  <si>
    <t>The economics of a small Texas horizontal program (5–10 wells), modelled month by month. An Excel Table holds one scenario per row: its assumptions, and in the same row its NPV, IRR, payout, PV/I, EUR and net cash. Change a row, or add one, and its results follow. The default assumptions are illustrative, not a price deck. Every formula is plain Excel; no add-in is needed.</t>
  </si>
  <si>
    <t>Sheets</t>
  </si>
  <si>
    <t>Assumptions — the base case. Blue cells on a yellow background are inputs: program, type curve, prices, interests, Texas severance (4.6 % oil, 7.5 % gas) and ad valorem, costs and the discount rate.</t>
  </si>
  <si>
    <t>Scenarios — the Table. An assumption cell is a number or a formula on the base case, so a row that does not override a value follows the Assumptions sheet. Result columns are calculated columns calling named LAMBDAs (Formulas › Name Manager, MODEL.* and PO.ECON.*) that run the whole monthly model on that row's assumptions. The picker at the top (C2) sends any row to Cash Flow.</t>
  </si>
  <si>
    <t>Cash Flow — the audit of one case: the program year by year (volumes, revenue, taxes, costs, capital, net and discounted cash, cumulative), for the base case or the row picked on Scenarios. The annual rows are sums of the same monthly engine, and the sheet shows that they reconcile to it.</t>
  </si>
  <si>
    <t>The model</t>
  </si>
  <si>
    <t>Wells come online one every few months and are drilled the month before. Each well follows an Arps hyperbolic type curve switching to an exponential terminal decline, sampled at mid-month, with gas from a constant GOR. A well produces until its operating margin reaches zero (the economic limit, from start-of-life prices) or the life cap, then is plugged the following month. Net revenue is the NRI share; severance is charged on the oil and gas value and ad valorem on net revenue; costs and capital are the WI share. NPV discounts end-of-month cash flows at the annual rate; IRR is the monthly IRR annualised; PV/I is NPV divided by the discounted capital.</t>
  </si>
  <si>
    <t>What version 1 takes in, and what it leaves out</t>
  </si>
  <si>
    <t>Escalation is in: one annual rate on prices and operating costs (Assumptions), applied month by month. Partners are in as rows: a partner's case is a row with its own WI and NRI, which scales the costs by WI and the revenue by NRI — a 40 % partner at the same revenue-to-working-interest ratio earns exactly 40 % of the base NPV. Price decks are out: a deck is a table of prices per scenario, which does not fit one row, so a scenario has flat prices (plus escalation).</t>
  </si>
  <si>
    <t>Also out: risked or Monte Carlo economics, reserves booking, fiscal regimes beyond the Texas taxes shown, and any carry or reversion in the interests.</t>
  </si>
  <si>
    <t>Reading the results</t>
  </si>
  <si>
    <t>Negative NPV, and an IRR below the hurdle or with no root, are flagged red in the Table. IRR is "n/a" when NPV never falls through zero between −5 % and +45 % a month; payout is "none" when cumulative cash never recovers. The Cash Flow sheet shows 35 years; a program that runs longer says so there, but the Table always uses the whole life.</t>
  </si>
  <si>
    <t>Assumptions — base case</t>
  </si>
  <si>
    <t>Blue cells on a yellow background are inputs. Illustrative defaults for a small Texas horizontal program; the Scenarios sheet varies price, capital, LOE, type curve, well count, interests and discount rate around them.</t>
  </si>
  <si>
    <t>Program</t>
  </si>
  <si>
    <t>Wells</t>
  </si>
  <si>
    <t>wells</t>
  </si>
  <si>
    <t>1–10 (a small program is 5–10); each is drilled the month before it comes online</t>
  </si>
  <si>
    <t>First well online</t>
  </si>
  <si>
    <t>month</t>
  </si>
  <si>
    <t>Month 1 is the start of the program; 2 or later</t>
  </si>
  <si>
    <t>Months between wells coming online</t>
  </si>
  <si>
    <t>months</t>
  </si>
  <si>
    <t>Longest producing life of a well</t>
  </si>
  <si>
    <t>A well stops sooner when its margin reaches zero</t>
  </si>
  <si>
    <t>Type curve — one well, oil</t>
  </si>
  <si>
    <t>Initial oil rate</t>
  </si>
  <si>
    <t>bbl/d</t>
  </si>
  <si>
    <t>Arps hyperbolic exponent b</t>
  </si>
  <si>
    <t>—</t>
  </si>
  <si>
    <t>0 &lt; b ≤ 2</t>
  </si>
  <si>
    <t>Initial decline, effective secant</t>
  </si>
  <si>
    <t>per year</t>
  </si>
  <si>
    <t>Terminal decline, effective</t>
  </si>
  <si>
    <t>Exponential tail after the switch</t>
  </si>
  <si>
    <t>Gas–oil ratio</t>
  </si>
  <si>
    <t>scf/bbl</t>
  </si>
  <si>
    <t>Constant over life</t>
  </si>
  <si>
    <t>Type-curve factor</t>
  </si>
  <si>
    <t>×</t>
  </si>
  <si>
    <t>Scales the initial rate: 0.75 ≈ P90, 1.3 ≈ P10</t>
  </si>
  <si>
    <t>Prices</t>
  </si>
  <si>
    <t>Oil price (WTI)</t>
  </si>
  <si>
    <t>$/bbl</t>
  </si>
  <si>
    <t>Oil differential</t>
  </si>
  <si>
    <t>Deducted: quality and transport</t>
  </si>
  <si>
    <t>Gas price (Henry Hub)</t>
  </si>
  <si>
    <t>$/MMBtu</t>
  </si>
  <si>
    <t>1 MMBtu per Mcf assumed</t>
  </si>
  <si>
    <t>Gas differential</t>
  </si>
  <si>
    <t>Deducted: Waha basis</t>
  </si>
  <si>
    <t>Escalation, prices and operating costs</t>
  </si>
  <si>
    <t>The economic limit uses start-of-life prices</t>
  </si>
  <si>
    <t>Interests and Texas taxes</t>
  </si>
  <si>
    <t>Working interest</t>
  </si>
  <si>
    <t>Scales costs and capital</t>
  </si>
  <si>
    <t>Net revenue interest</t>
  </si>
  <si>
    <t>Scales revenue; 25 % royalty at 100 % WI</t>
  </si>
  <si>
    <t>Oil production (severance) tax</t>
  </si>
  <si>
    <t>of value</t>
  </si>
  <si>
    <t>Texas: 4.6 % of the market value of oil</t>
  </si>
  <si>
    <t>Gas production (severance) tax</t>
  </si>
  <si>
    <t>Texas: 7.5 % of the market value of gas</t>
  </si>
  <si>
    <t>Ad valorem tax</t>
  </si>
  <si>
    <t>of revenue</t>
  </si>
  <si>
    <t>Approximated as a share of net revenue</t>
  </si>
  <si>
    <t>Costs</t>
  </si>
  <si>
    <t>Drilling and completion, per well</t>
  </si>
  <si>
    <t>$MM</t>
  </si>
  <si>
    <t>Spent the month before the well comes online</t>
  </si>
  <si>
    <t>Fixed LOE</t>
  </si>
  <si>
    <t>$/well-month</t>
  </si>
  <si>
    <t>Variable LOE</t>
  </si>
  <si>
    <t>Gas gathering and processing</t>
  </si>
  <si>
    <t>$/Mcf</t>
  </si>
  <si>
    <t>Plugging and abandonment, per well</t>
  </si>
  <si>
    <t>$</t>
  </si>
  <si>
    <t>The month after the well's last production</t>
  </si>
  <si>
    <t>Discounting</t>
  </si>
  <si>
    <t>Discount rate</t>
  </si>
  <si>
    <t>End-of-month cash flows; NPV at this rate</t>
  </si>
  <si>
    <t>IRR hurdle</t>
  </si>
  <si>
    <t>IRR below this is flagged red on the Scenarios sheet</t>
  </si>
  <si>
    <t>Scenarios — one row per set of assumptions, results in the same row</t>
  </si>
  <si>
    <t>Case shown on the Cash Flow sheet:</t>
  </si>
  <si>
    <t>0 = the base case on the Assumptions sheet; otherwise a Case number from the Table (found by number, so sorting is safe).</t>
  </si>
  <si>
    <t>Assumption columns (blue) are inputs — numbers, or formulas on the base case so they follow it. Result columns are calculated columns calling the MODEL.* and PO.ECON.* LAMBDAs, so every row runs the whole monthly model on its own assumptions. Add a row at the bottom of the Table and its results fill in. WI scales costs and capital, NRI scales revenue: a partner is a row.</t>
  </si>
  <si>
    <t>Case</t>
  </si>
  <si>
    <t>Scenario</t>
  </si>
  <si>
    <t>Oil $/bbl</t>
  </si>
  <si>
    <t>Gas $/MMBtu</t>
  </si>
  <si>
    <t>D&amp;C $MM/well</t>
  </si>
  <si>
    <t>LOE $/well-month</t>
  </si>
  <si>
    <t>Type curve factor</t>
  </si>
  <si>
    <t>WI</t>
  </si>
  <si>
    <t>NRI</t>
  </si>
  <si>
    <t>NPV $MM</t>
  </si>
  <si>
    <t>IRR</t>
  </si>
  <si>
    <t>Payout months</t>
  </si>
  <si>
    <t>PV/I</t>
  </si>
  <si>
    <t>EUR Mbbl/well</t>
  </si>
  <si>
    <t>Net cash $MM</t>
  </si>
  <si>
    <t>Base case</t>
  </si>
  <si>
    <t>Low oil — $55</t>
  </si>
  <si>
    <t>High oil — $85</t>
  </si>
  <si>
    <t>Low gas — $1.50</t>
  </si>
  <si>
    <t>D&amp;C +20 %</t>
  </si>
  <si>
    <t>D&amp;C −15 %</t>
  </si>
  <si>
    <t>LOE +25 %</t>
  </si>
  <si>
    <t>P90 type curve (×0.75)</t>
  </si>
  <si>
    <t>P10 type curve (×1.30)</t>
  </si>
  <si>
    <t>5 wells</t>
  </si>
  <si>
    <t>10 wells</t>
  </si>
  <si>
    <t>8 % discount rate</t>
  </si>
  <si>
    <t>12 % discount rate</t>
  </si>
  <si>
    <t>Downside — $50 oil, P90, D&amp;C +20 %, LOE +25 %</t>
  </si>
  <si>
    <t>40 % partner — WI 40 %, NRI in proportion</t>
  </si>
  <si>
    <t>The case picked on the Scenarios sheet (0 = base case), year by year. The annual rows are sums of the same monthly engine the Table uses.</t>
  </si>
  <si>
    <t>Case shown (picked on the Scenarios sheet)</t>
  </si>
  <si>
    <t>Results — the case shown</t>
  </si>
  <si>
    <t>Table row of the picked case</t>
  </si>
  <si>
    <t>NPV</t>
  </si>
  <si>
    <t>Oil price</t>
  </si>
  <si>
    <t>Gas price</t>
  </si>
  <si>
    <t>Payout</t>
  </si>
  <si>
    <t>D&amp;C per well</t>
  </si>
  <si>
    <t>NPV ÷ disc. capital</t>
  </si>
  <si>
    <t>EUR per well</t>
  </si>
  <si>
    <t>Mbbl</t>
  </si>
  <si>
    <t>Net cash</t>
  </si>
  <si>
    <t>$MM, undiscounted</t>
  </si>
  <si>
    <t>Producing life of a well</t>
  </si>
  <si>
    <t>Years shown</t>
  </si>
  <si>
    <t>Annual rows − monthly engine, NPV</t>
  </si>
  <si>
    <t>Annual rows − monthly engine, net cash</t>
  </si>
  <si>
    <t>Year</t>
  </si>
  <si>
    <t>Average wells producing</t>
  </si>
  <si>
    <t>Oil (Mbbl)</t>
  </si>
  <si>
    <t>Gas (MMcf)</t>
  </si>
  <si>
    <t>Net revenue ($MM)</t>
  </si>
  <si>
    <t>Severance + ad valorem ($MM)</t>
  </si>
  <si>
    <t>Operating cost ($MM)</t>
  </si>
  <si>
    <t>Capital ($MM)</t>
  </si>
  <si>
    <t>P&amp;A ($MM)</t>
  </si>
  <si>
    <t>Net cash ($MM)</t>
  </si>
  <si>
    <t>Discounted ($MM)</t>
  </si>
  <si>
    <t>Cumulative ($MM)</t>
  </si>
  <si>
    <t>Total</t>
  </si>
</sst>
</file>

<file path=xl/styles.xml><?xml version="1.0" encoding="utf-8"?>
<styleSheet xmlns="http://schemas.openxmlformats.org/spreadsheetml/2006/main">
  <numFmts count="5">
    <numFmt numFmtId="164" formatCode="0.0%"/>
    <numFmt numFmtId="165" formatCode="#,##0.0"/>
    <numFmt numFmtId="166" formatCode="#,##0.0;[Red]-#,##0.0"/>
    <numFmt numFmtId="167" formatCode="0.000000"/>
    <numFmt numFmtId="168" formatCode="0.0"/>
  </numFmts>
  <fonts count="7">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
      <b/>
      <sz val="13"/>
      <name val="Aptos Narrow"/>
    </font>
  </fonts>
  <fills count="4">
    <fill>
      <patternFill patternType="none"/>
    </fill>
    <fill>
      <patternFill patternType="gray125"/>
    </fill>
    <fill>
      <patternFill patternType="solid">
        <fgColor rgb="FFE8EEF4"/>
      </patternFill>
    </fill>
    <fill>
      <patternFill patternType="solid">
        <fgColor rgb="FFFFF2CC"/>
      </patternFill>
    </fill>
  </fills>
  <borders count="3">
    <border>
      <left/>
      <right/>
      <top/>
      <bottom/>
      <diagonal/>
    </border>
    <border>
      <left/>
      <right/>
      <top/>
      <bottom style="thin"/>
      <diagonal/>
    </border>
    <border>
      <left/>
      <right/>
      <top style="thin"/>
      <bottom/>
      <diagonal/>
    </border>
  </borders>
  <cellStyleXfs count="1">
    <xf numFmtId="0" fontId="0"/>
  </cellStyleXfs>
  <cellXfs count="44">
    <xf numFmtId="0" fontId="0" xfId="0"/>
    <xf numFmtId="0" fontId="1" applyFont="1"/>
    <xf numFmtId="0" fontId="2" applyFont="1"/>
    <xf numFmtId="0" fontId="3" applyFont="1"/>
    <xf numFmtId="0" fontId="0" applyAlignment="1">
      <alignment wrapText="1"/>
    </xf>
    <xf numFmtId="0" fontId="0" applyAlignment="1">
      <alignment vertical="top" wrapText="1"/>
    </xf>
    <xf numFmtId="0" fontId="4" applyFont="1" applyAlignment="1">
      <alignment wrapText="1"/>
    </xf>
    <xf numFmtId="0" fontId="3" applyFont="1" fillId="2" applyFill="1"/>
    <xf numFmtId="1" applyNumberFormat="1" fontId="5" applyFont="1" fillId="3" applyFill="1"/>
    <xf numFmtId="0" fontId="4" applyFont="1"/>
    <xf numFmtId="3" applyNumberFormat="1" fontId="5" applyFont="1" fillId="3" applyFill="1"/>
    <xf numFmtId="2" applyNumberFormat="1" fontId="5" applyFont="1" fillId="3" applyFill="1"/>
    <xf numFmtId="9" applyNumberFormat="1" fontId="5" applyFont="1" fillId="3" applyFill="1"/>
    <xf numFmtId="164" applyNumberFormat="1" fontId="5" applyFont="1" fillId="3" applyFill="1"/>
    <xf numFmtId="0" fontId="6" applyFont="1"/>
    <xf numFmtId="0" fontId="1" applyFont="1" applyAlignment="1">
      <alignment horizontal="right"/>
    </xf>
    <xf numFmtId="1" applyNumberFormat="1" fontId="0"/>
    <xf numFmtId="49" applyNumberFormat="1" fontId="0"/>
    <xf numFmtId="2" applyNumberFormat="1" fontId="5" applyFont="1"/>
    <xf numFmtId="3" applyNumberFormat="1" fontId="5" applyFont="1"/>
    <xf numFmtId="1" applyNumberFormat="1" fontId="5" applyFont="1"/>
    <xf numFmtId="164" applyNumberFormat="1" fontId="5" applyFont="1"/>
    <xf numFmtId="165" applyNumberFormat="1" fontId="0"/>
    <xf numFmtId="164" applyNumberFormat="1" fontId="0"/>
    <xf numFmtId="2" applyNumberFormat="1" fontId="0"/>
    <xf numFmtId="3" applyNumberFormat="1" fontId="0"/>
    <xf numFmtId="1" applyNumberFormat="1" fontId="0" applyAlignment="1">
      <alignment horizontal="right"/>
    </xf>
    <xf numFmtId="2" applyNumberFormat="1" fontId="0" applyAlignment="1">
      <alignment horizontal="right"/>
    </xf>
    <xf numFmtId="3" applyNumberFormat="1" fontId="0" applyAlignment="1">
      <alignment horizontal="right"/>
    </xf>
    <xf numFmtId="164" applyNumberFormat="1" fontId="0" applyAlignment="1">
      <alignment horizontal="right"/>
    </xf>
    <xf numFmtId="166" applyNumberFormat="1" fontId="0"/>
    <xf numFmtId="166" applyNumberFormat="1" fontId="1" applyFont="1" applyAlignment="1">
      <alignment horizontal="right"/>
    </xf>
    <xf numFmtId="164" applyNumberFormat="1" fontId="1" applyFont="1" applyAlignment="1">
      <alignment horizontal="right"/>
    </xf>
    <xf numFmtId="1" applyNumberFormat="1" fontId="1" applyFont="1" applyAlignment="1">
      <alignment horizontal="right"/>
    </xf>
    <xf numFmtId="2" applyNumberFormat="1" fontId="1" applyFont="1" applyAlignment="1">
      <alignment horizontal="right"/>
    </xf>
    <xf numFmtId="3" applyNumberFormat="1" fontId="1" applyFont="1" applyAlignment="1">
      <alignment horizontal="right"/>
    </xf>
    <xf numFmtId="167" applyNumberFormat="1" fontId="0" applyAlignment="1">
      <alignment horizontal="right"/>
    </xf>
    <xf numFmtId="0" fontId="1" applyFont="1" fillId="2" applyFill="1" borderId="1" applyBorder="1" applyAlignment="1">
      <alignment wrapText="1"/>
    </xf>
    <xf numFmtId="1" applyNumberFormat="1" fontId="1" applyFont="1" borderId="2" applyBorder="1"/>
    <xf numFmtId="168" applyNumberFormat="1" fontId="0"/>
    <xf numFmtId="168" applyNumberFormat="1" fontId="1" applyFont="1" borderId="2" applyBorder="1"/>
    <xf numFmtId="3" applyNumberFormat="1" fontId="1" applyFont="1" borderId="2" applyBorder="1"/>
    <xf numFmtId="165" applyNumberFormat="1" fontId="1" applyFont="1" borderId="2" applyBorder="1"/>
    <xf numFmtId="166" applyNumberFormat="1" fontId="1" applyFont="1" borderId="2" applyBorder="1"/>
  </cellXfs>
  <cellStyles count="1">
    <cellStyle name="Normal" xfId="0" builtinId="0"/>
  </cellStyles>
  <dxfs count="4">
    <dxf>
      <font>
        <b val="1"/>
        <color rgb="ffc00000"/>
      </font>
    </dxf>
    <dxf>
      <font>
        <b val="1"/>
        <color rgb="ffc00000"/>
      </font>
    </dxf>
    <dxf>
      <font>
        <b val="1"/>
        <color rgb="ffc00000"/>
      </font>
    </dxf>
    <dxf>
      <font>
        <b val="1"/>
        <color rgb="ffc00000"/>
      </font>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eetMetadata" Target="/xl/metadata.xml"/><Relationship Id="rId7" Type="http://schemas.microsoft.com/office/2017/06/relationships/rdRichValueTypes" Target="/xl/richData/rdRichValueTypes.xml"/><Relationship Id="rId8" Type="http://schemas.microsoft.com/office/2017/06/relationships/rdRichValueStructure" Target="/xl/richData/rdrichvaluestructure.xml"/><Relationship Id="rId9" Type="http://schemas.microsoft.com/office/2017/06/relationships/rdRichValue" Target="/xl/richData/rdrichvalue.xml"/><Relationship Id="rId10" Type="http://schemas.microsoft.com/office/2017/06/relationships/rdArray" Target="/xl/richData/rdarray.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NPV by scenario ($MM)</a:t>
            </a:r>
          </a:p>
        </c:rich>
      </c:tx>
      <c:layout/>
      <c:overlay val="0"/>
      <c:spPr>
        <a:noFill/>
        <a:ln>
          <a:noFill/>
        </a:ln>
        <a:effectLst/>
      </c:spPr>
    </c:title>
    <c:plotArea>
      <c:layout/>
      <c:barChart>
        <c:barDir val="bar"/>
        <c:grouping val="clustered"/>
        <c:varyColors val="0"/>
        <c:ser>
          <c:idx val="0"/>
          <c:order val="0"/>
          <c:tx>
            <c:v>NPV at each row's discount rate ($MM)</c:v>
          </c:tx>
          <c:spPr>
            <a:solidFill>
              <a:srgbClr val="2E75B6"/>
            </a:solidFill>
            <a:ln>
              <a:noFill/>
            </a:ln>
            <a:effectLst/>
            <a:sp3d/>
          </c:spPr>
          <c:invertIfNegative val="0"/>
          <c:cat>
            <c:numRef>
              <c:f>Scenarios!$B$6:$B$20</c:f>
            </c:numRef>
          </c:cat>
          <c:val>
            <c:numRef>
              <c:f>Scenarios!$L$6:$L$20</c:f>
              <c:numCache/>
            </c:numRef>
          </c:val>
        </c:ser>
        <c:gapWidth val="60"/>
        <c:axId val="1"/>
        <c:axId val="2"/>
      </c:barChart>
      <c:catAx>
        <c:axId val="1"/>
        <c:scaling>
          <c:orientation val="maxMin"/>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tickLblPos val="low"/>
        <c:txPr>
          <a:bodyPr rot="-60000000" spcFirstLastPara="1" vertOverflow="ellipsis" vert="horz" wrap="square" anchor="ctr" anchorCtr="1"/>
          <a:lstStyle/>
          <a:p>
            <a:pPr>
              <a:defRPr kern="1200" sz="900"/>
            </a:pPr>
          </a:p>
        </c:txPr>
        <c:crossAx val="2"/>
        <c:crosses val="autoZero"/>
        <c:auto val="1"/>
        <c:lblAlgn val="ctr"/>
        <c:lblOffset val="100"/>
      </c:catAx>
      <c:valAx>
        <c:axId val="2"/>
        <c:scaling>
          <c:orientation val="minMax"/>
        </c:scaling>
        <c:delete val="0"/>
        <c:axPos val="l"/>
        <c:majorGridlines/>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plotArea>
    <c:plotVisOnly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Cumulative net cash flow ($MM)</a:t>
            </a:r>
          </a:p>
        </c:rich>
      </c:tx>
      <c:layout/>
      <c:overlay val="0"/>
      <c:spPr>
        <a:noFill/>
        <a:ln>
          <a:noFill/>
        </a:ln>
        <a:effectLst/>
      </c:spPr>
    </c:title>
    <c:plotArea>
      <c:layout/>
      <c:lineChart>
        <c:grouping val="standard"/>
        <c:varyColors val="0"/>
        <c:ser>
          <c:idx val="0"/>
          <c:order val="0"/>
          <c:tx>
            <c:v>Cumulative net cash flow</c:v>
          </c:tx>
          <c:spPr>
            <a:ln w="25400">
              <a:solidFill>
                <a:srgbClr val="2E75B6"/>
              </a:solidFill>
            </a:ln>
            <a:effectLst/>
            <a:sp3d/>
          </c:spPr>
          <c:marker>
            <c:symbol val="square"/>
          </c:marker>
          <c:cat>
            <c:numRef>
              <c:f>'Cash Flow'!$A$18:$A$52</c:f>
            </c:numRef>
          </c:cat>
          <c:val>
            <c:numRef>
              <c:f>'Cash Flow'!$L$18:$L$52</c:f>
              <c:numCache/>
            </c:numRef>
          </c:val>
          <c:smooth val="0"/>
        </c:ser>
        <c:marker val="1"/>
        <c:smooth val="0"/>
        <c:axId val="1"/>
        <c:axId val="2"/>
      </c:lineChart>
      <c:catAx>
        <c:axId val="1"/>
        <c:scaling>
          <c:orientation val="minMax"/>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rPr/>
                  <a:t>Year</a:t>
                </a:r>
              </a:p>
            </c:rich>
          </c:tx>
          <c:layout/>
          <c:overlay val="0"/>
          <c:spPr>
            <a:noFill/>
            <a:ln>
              <a:noFill/>
            </a:ln>
            <a:effectLst/>
          </c:spPr>
        </c:title>
        <c:tickLblPos val="nextTo"/>
        <c:txPr>
          <a:bodyPr rot="-60000000" spcFirstLastPara="1" vertOverflow="ellipsis" vert="horz" wrap="square" anchor="ctr" anchorCtr="1"/>
          <a:lstStyle/>
          <a:p>
            <a:pPr>
              <a:defRPr kern="1200" sz="900"/>
            </a:pPr>
          </a:p>
        </c:txPr>
        <c:crossAx val="2"/>
        <c:crosses val="autoZero"/>
        <c:auto val="1"/>
        <c:lblAlgn val="ctr"/>
        <c:lblOffset val="100"/>
      </c:catAx>
      <c:valAx>
        <c:axId val="2"/>
        <c:scaling>
          <c:orientation val="minMax"/>
        </c:scaling>
        <c:delete val="0"/>
        <c:axPos val="l"/>
        <c:majorGridlines/>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plotArea>
    <c:plotVisOnly val="1"/>
  </c:chart>
  <c:printSettings>
    <c:headerFooter/>
    <c:pageMargins b="0.75" l="0.7" r="0.7" t="0.75" header="0.3" footer="0.3"/>
    <c:pageSetup/>
  </c:printSettings>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s>
</file>

<file path=xl/drawings/_rels/drawing4.xml.rels><?xml version="1.0" encoding="UTF-8" standalone="yes"?><Relationships xmlns="http://schemas.openxmlformats.org/package/2006/relationships"><Relationship Id="rId1" Type="http://schemas.openxmlformats.org/officeDocument/2006/relationships/chart" Target="../charts/chart2.xml"/></Relationships>
</file>

<file path=xl/drawings/drawing3.xml><?xml version="1.0" encoding="utf-8"?>
<xdr:wsDr xmlns:xdr="http://schemas.openxmlformats.org/drawingml/2006/spreadsheetDrawing" xmlns:a="http://schemas.openxmlformats.org/drawingml/2006/main">
  <xdr:twoCellAnchor>
    <xdr:from>
      <xdr:col>18</xdr:col>
      <xdr:colOff>0</xdr:colOff>
      <xdr:row>4</xdr:row>
      <xdr:rowOff>0</xdr:rowOff>
    </xdr:from>
    <xdr:to>
      <xdr:col>26</xdr:col>
      <xdr:colOff>457200</xdr:colOff>
      <xdr:row>25</xdr:row>
      <xdr:rowOff>0</xdr:rowOff>
    </xdr:to>
    <graphicFrame xmlns="http://schemas.openxmlformats.org/drawingml/2006/spreadsheetDrawing" macro="">
      <xdr:nvGraphicFramePr>
        <xdr:cNvPr id="3" name="NPV by scenari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3</xdr:row>
      <xdr:rowOff>0</xdr:rowOff>
    </xdr:from>
    <xdr:to>
      <xdr:col>23</xdr:col>
      <xdr:colOff>228600</xdr:colOff>
      <xdr:row>18</xdr:row>
      <xdr:rowOff>152400</xdr:rowOff>
    </xdr:to>
    <graphicFrame xmlns="http://schemas.openxmlformats.org/drawingml/2006/spreadsheetDrawing" macro="">
      <xdr:nvGraphicFramePr>
        <xdr:cNvPr id="3" name="Cumulative cash flo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rvTypesInfo>
</file>

<file path=xl/richData/rdarray.xml><?xml version="1.0" encoding="utf-8"?>
<arrayData xmlns="http://schemas.microsoft.com/office/spreadsheetml/2017/richdata2" count="0"/>
</file>

<file path=xl/richData/rdrichvalue.xml><?xml version="1.0" encoding="utf-8"?>
<rvData xmlns="http://schemas.microsoft.com/office/spreadsheetml/2017/richdata" count="0"/>
</file>

<file path=xl/richData/rdrichvaluestructure.xml><?xml version="1.0" encoding="utf-8"?>
<rvStructures xmlns="http://schemas.microsoft.com/office/spreadsheetml/2017/richdata" count="0"/>
</file>

<file path=xl/tables/table1.xml><?xml version="1.0" encoding="utf-8"?>
<table xmlns="http://schemas.openxmlformats.org/spreadsheetml/2006/main" id="1" name="ScenarioTable" displayName="ScenarioTable" ref="A5:Q20" headerRowCount="1">
  <autoFilter ref="A5:Q20"/>
  <tableColumns count="17">
    <tableColumn id="1" name="Case"/>
    <tableColumn id="2" name="Scenario"/>
    <tableColumn id="3" name="Oil $/bbl"/>
    <tableColumn id="4" name="Gas $/MMBtu"/>
    <tableColumn id="5" name="D&amp;C $MM/well"/>
    <tableColumn id="6" name="LOE $/well-month"/>
    <tableColumn id="7" name="Type curve factor"/>
    <tableColumn id="8" name="Wells"/>
    <tableColumn id="9" name="WI"/>
    <tableColumn id="10" name="NRI"/>
    <tableColumn id="11" name="Discount rate"/>
    <tableColumn id="12" name="NPV $MM">
      <calculatedColumnFormula array="1">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calculatedColumnFormula>
    </tableColumn>
    <tableColumn id="13" name="IRR">
      <calculatedColumnFormula array="1">PO.ECON.IRR.Monthly(MODEL.CashFlow(ScenarioTable[[#This Row],[Oil $/bbl]],ScenarioTable[[#This Row],[Gas $/MMBtu]],ScenarioTable[[#This Row],[D&amp;C $MM/well]],ScenarioTable[[#This Row],[LOE $/well-month]],ScenarioTable[[#This Row],[Type curve factor]],ScenarioTable[[#This Row],[Wells]],ScenarioTable[[#This Row],[WI]],ScenarioTable[[#This Row],[NRI]]))</calculatedColumnFormula>
    </tableColumn>
    <tableColumn id="14" name="Payout months">
      <calculatedColumnFormula array="1">PO.ECON.Payout(MODEL.CashFlow(ScenarioTable[[#This Row],[Oil $/bbl]],ScenarioTable[[#This Row],[Gas $/MMBtu]],ScenarioTable[[#This Row],[D&amp;C $MM/well]],ScenarioTable[[#This Row],[LOE $/well-month]],ScenarioTable[[#This Row],[Type curve factor]],ScenarioTable[[#This Row],[Wells]],ScenarioTable[[#This Row],[WI]],ScenarioTable[[#This Row],[NRI]]))</calculatedColumnFormula>
    </tableColumn>
    <tableColumn id="15" name="PV/I">
      <calculatedColumnFormula array="1">ScenarioTable[[#This Row],[NPV $MM]]*1000000/PO.ECON.NPV.Monthly(MODEL.Capex(ScenarioTable[[#This Row],[D&amp;C $MM/well]],ScenarioTable[[#This Row],[Wells]],ScenarioTable[[#This Row],[WI]]),ScenarioTable[[#This Row],[Discount rate]])</calculatedColumnFormula>
    </tableColumn>
    <tableColumn id="16" name="EUR Mbbl/well">
      <calculatedColumnFormula array="1">MODEL.EUR(ScenarioTable[[#This Row],[Oil $/bbl]],ScenarioTable[[#This Row],[Gas $/MMBtu]],ScenarioTable[[#This Row],[LOE $/well-month]],ScenarioTable[[#This Row],[Type curve factor]],ScenarioTable[[#This Row],[WI]],ScenarioTable[[#This Row],[NRI]])/1000</calculatedColumnFormula>
    </tableColumn>
    <tableColumn id="17" name="Net cash $MM">
      <calculatedColumnFormula array="1">SUM(MODEL.CashFlow(ScenarioTable[[#This Row],[Oil $/bbl]],ScenarioTable[[#This Row],[Gas $/MMBtu]],ScenarioTable[[#This Row],[D&amp;C $MM/well]],ScenarioTable[[#This Row],[LOE $/well-month]],ScenarioTable[[#This Row],[Type curve factor]],ScenarioTable[[#This Row],[Wells]],ScenarioTable[[#This Row],[WI]],ScenarioTable[[#This Row],[NRI]]))/1000000</calculatedColumnFormula>
    </tableColumn>
  </tableColumns>
  <tableStyleInfo name="TableStyleMedium2" showFirstColumn="0" showLastColumn="0" showRowStripes="1" showColumnStripes="0"/>
</table>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table" Target="../tables/table1.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19"/>
  <sheetViews>
    <sheetView workbookViewId="0" showGridLines="0"/>
  </sheetViews>
  <sheetFormatPr defaultRowHeight="15"/>
  <cols>
    <col min="1" max="1" width="118" customWidth="1"/>
  </cols>
  <sheetData>
    <row r="1">
      <c r="A1" s="2" t="s">
        <v>0</v>
      </c>
    </row>
    <row r="3">
      <c r="A3" s="3" t="s">
        <v>1</v>
      </c>
    </row>
    <row r="4" ht="63" customHeight="1">
      <c r="A4" s="5" t="s">
        <v>2</v>
      </c>
    </row>
    <row r="6">
      <c r="A6" s="3" t="s">
        <v>3</v>
      </c>
    </row>
    <row r="7" ht="33" customHeight="1">
      <c r="A7" s="5" t="s">
        <v>4</v>
      </c>
    </row>
    <row r="8" ht="63" customHeight="1">
      <c r="A8" s="5" t="s">
        <v>5</v>
      </c>
    </row>
    <row r="9" ht="48" customHeight="1">
      <c r="A9" s="5" t="s">
        <v>6</v>
      </c>
    </row>
    <row r="11">
      <c r="A11" s="3" t="s">
        <v>7</v>
      </c>
    </row>
    <row r="12" ht="93" customHeight="1">
      <c r="A12" s="5" t="s">
        <v>8</v>
      </c>
    </row>
    <row r="14">
      <c r="A14" s="3" t="s">
        <v>9</v>
      </c>
    </row>
    <row r="15" ht="63" customHeight="1">
      <c r="A15" s="5" t="s">
        <v>10</v>
      </c>
    </row>
    <row r="16" ht="33" customHeight="1">
      <c r="A16" s="5" t="s">
        <v>11</v>
      </c>
    </row>
    <row r="18">
      <c r="A18" s="3" t="s">
        <v>12</v>
      </c>
    </row>
    <row r="19" ht="48" customHeight="1">
      <c r="A19" s="5" t="s">
        <v>13</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D41"/>
  <sheetViews>
    <sheetView workbookViewId="0"/>
  </sheetViews>
  <sheetFormatPr defaultRowHeight="15"/>
  <cols>
    <col min="1" max="1" width="44" customWidth="1"/>
    <col min="2" max="2" width="12" customWidth="1"/>
    <col min="3" max="3" width="14" customWidth="1"/>
    <col min="4" max="4" width="70" customWidth="1"/>
  </cols>
  <sheetData>
    <row r="1">
      <c r="A1" s="1" t="s">
        <v>14</v>
      </c>
    </row>
    <row r="2" ht="45" customHeight="1">
      <c r="A2" s="6" t="s">
        <v>15</v>
      </c>
      <c r="B2" s="6"/>
      <c r="C2" s="6"/>
      <c r="D2" s="6"/>
    </row>
    <row r="4">
      <c r="A4" s="7" t="s">
        <v>16</v>
      </c>
      <c r="B4" s="7"/>
      <c r="C4" s="7"/>
      <c r="D4" s="7"/>
    </row>
    <row r="5">
      <c r="A5" s="0" t="s">
        <v>17</v>
      </c>
      <c r="B5" s="8">
        <v>8</v>
      </c>
      <c r="C5" s="0" t="s">
        <v>18</v>
      </c>
      <c r="D5" s="9" t="s">
        <v>19</v>
      </c>
    </row>
    <row r="6">
      <c r="A6" s="0" t="s">
        <v>20</v>
      </c>
      <c r="B6" s="8">
        <v>3</v>
      </c>
      <c r="C6" s="0" t="s">
        <v>21</v>
      </c>
      <c r="D6" s="9" t="s">
        <v>22</v>
      </c>
    </row>
    <row r="7">
      <c r="A7" s="0" t="s">
        <v>23</v>
      </c>
      <c r="B7" s="8">
        <v>1</v>
      </c>
      <c r="C7" s="0" t="s">
        <v>24</v>
      </c>
    </row>
    <row r="8">
      <c r="A8" s="0" t="s">
        <v>25</v>
      </c>
      <c r="B8" s="8">
        <v>360</v>
      </c>
      <c r="C8" s="0" t="s">
        <v>24</v>
      </c>
      <c r="D8" s="9" t="s">
        <v>26</v>
      </c>
    </row>
    <row r="10">
      <c r="A10" s="7" t="s">
        <v>27</v>
      </c>
      <c r="B10" s="7"/>
      <c r="C10" s="7"/>
      <c r="D10" s="7"/>
    </row>
    <row r="11">
      <c r="A11" s="0" t="s">
        <v>28</v>
      </c>
      <c r="B11" s="10">
        <v>800</v>
      </c>
      <c r="C11" s="0" t="s">
        <v>29</v>
      </c>
    </row>
    <row r="12">
      <c r="A12" s="0" t="s">
        <v>30</v>
      </c>
      <c r="B12" s="11">
        <v>1</v>
      </c>
      <c r="C12" s="0" t="s">
        <v>31</v>
      </c>
      <c r="D12" s="9" t="s">
        <v>32</v>
      </c>
    </row>
    <row r="13">
      <c r="A13" s="0" t="s">
        <v>33</v>
      </c>
      <c r="B13" s="12">
        <v>0.65</v>
      </c>
      <c r="C13" s="0" t="s">
        <v>34</v>
      </c>
    </row>
    <row r="14">
      <c r="A14" s="0" t="s">
        <v>35</v>
      </c>
      <c r="B14" s="12">
        <v>0.08</v>
      </c>
      <c r="C14" s="0" t="s">
        <v>34</v>
      </c>
      <c r="D14" s="9" t="s">
        <v>36</v>
      </c>
    </row>
    <row r="15">
      <c r="A15" s="0" t="s">
        <v>37</v>
      </c>
      <c r="B15" s="10">
        <v>1500</v>
      </c>
      <c r="C15" s="0" t="s">
        <v>38</v>
      </c>
      <c r="D15" s="9" t="s">
        <v>39</v>
      </c>
    </row>
    <row r="16">
      <c r="A16" s="0" t="s">
        <v>40</v>
      </c>
      <c r="B16" s="11">
        <v>1</v>
      </c>
      <c r="C16" s="0" t="s">
        <v>41</v>
      </c>
      <c r="D16" s="9" t="s">
        <v>42</v>
      </c>
    </row>
    <row r="18">
      <c r="A18" s="7" t="s">
        <v>43</v>
      </c>
      <c r="B18" s="7"/>
      <c r="C18" s="7"/>
      <c r="D18" s="7"/>
    </row>
    <row r="19">
      <c r="A19" s="0" t="s">
        <v>44</v>
      </c>
      <c r="B19" s="11">
        <v>70</v>
      </c>
      <c r="C19" s="0" t="s">
        <v>45</v>
      </c>
    </row>
    <row r="20">
      <c r="A20" s="0" t="s">
        <v>46</v>
      </c>
      <c r="B20" s="11">
        <v>1.5</v>
      </c>
      <c r="C20" s="0" t="s">
        <v>45</v>
      </c>
      <c r="D20" s="9" t="s">
        <v>47</v>
      </c>
    </row>
    <row r="21">
      <c r="A21" s="0" t="s">
        <v>48</v>
      </c>
      <c r="B21" s="11">
        <v>3</v>
      </c>
      <c r="C21" s="0" t="s">
        <v>49</v>
      </c>
      <c r="D21" s="9" t="s">
        <v>50</v>
      </c>
    </row>
    <row r="22">
      <c r="A22" s="0" t="s">
        <v>51</v>
      </c>
      <c r="B22" s="11">
        <v>1</v>
      </c>
      <c r="C22" s="0" t="s">
        <v>49</v>
      </c>
      <c r="D22" s="9" t="s">
        <v>52</v>
      </c>
    </row>
    <row r="23">
      <c r="A23" s="0" t="s">
        <v>53</v>
      </c>
      <c r="B23" s="13">
        <v>0</v>
      </c>
      <c r="C23" s="0" t="s">
        <v>34</v>
      </c>
      <c r="D23" s="9" t="s">
        <v>54</v>
      </c>
    </row>
    <row r="25">
      <c r="A25" s="7" t="s">
        <v>55</v>
      </c>
      <c r="B25" s="7"/>
      <c r="C25" s="7"/>
      <c r="D25" s="7"/>
    </row>
    <row r="26">
      <c r="A26" s="0" t="s">
        <v>56</v>
      </c>
      <c r="B26" s="13">
        <v>1</v>
      </c>
      <c r="D26" s="9" t="s">
        <v>57</v>
      </c>
    </row>
    <row r="27">
      <c r="A27" s="0" t="s">
        <v>58</v>
      </c>
      <c r="B27" s="13">
        <v>0.75</v>
      </c>
      <c r="D27" s="9" t="s">
        <v>59</v>
      </c>
    </row>
    <row r="28">
      <c r="A28" s="0" t="s">
        <v>60</v>
      </c>
      <c r="B28" s="13">
        <v>0.046</v>
      </c>
      <c r="C28" s="0" t="s">
        <v>61</v>
      </c>
      <c r="D28" s="9" t="s">
        <v>62</v>
      </c>
    </row>
    <row r="29">
      <c r="A29" s="0" t="s">
        <v>63</v>
      </c>
      <c r="B29" s="13">
        <v>0.075</v>
      </c>
      <c r="C29" s="0" t="s">
        <v>61</v>
      </c>
      <c r="D29" s="9" t="s">
        <v>64</v>
      </c>
    </row>
    <row r="30">
      <c r="A30" s="0" t="s">
        <v>65</v>
      </c>
      <c r="B30" s="13">
        <v>0.025</v>
      </c>
      <c r="C30" s="0" t="s">
        <v>66</v>
      </c>
      <c r="D30" s="9" t="s">
        <v>67</v>
      </c>
    </row>
    <row r="32">
      <c r="A32" s="7" t="s">
        <v>68</v>
      </c>
      <c r="B32" s="7"/>
      <c r="C32" s="7"/>
      <c r="D32" s="7"/>
    </row>
    <row r="33">
      <c r="A33" s="0" t="s">
        <v>69</v>
      </c>
      <c r="B33" s="11">
        <v>7</v>
      </c>
      <c r="C33" s="0" t="s">
        <v>70</v>
      </c>
      <c r="D33" s="9" t="s">
        <v>71</v>
      </c>
    </row>
    <row r="34">
      <c r="A34" s="0" t="s">
        <v>72</v>
      </c>
      <c r="B34" s="10">
        <v>8000</v>
      </c>
      <c r="C34" s="0" t="s">
        <v>73</v>
      </c>
    </row>
    <row r="35">
      <c r="A35" s="0" t="s">
        <v>74</v>
      </c>
      <c r="B35" s="11">
        <v>4</v>
      </c>
      <c r="C35" s="0" t="s">
        <v>45</v>
      </c>
    </row>
    <row r="36">
      <c r="A36" s="0" t="s">
        <v>75</v>
      </c>
      <c r="B36" s="11">
        <v>0.5</v>
      </c>
      <c r="C36" s="0" t="s">
        <v>76</v>
      </c>
    </row>
    <row r="37">
      <c r="A37" s="0" t="s">
        <v>77</v>
      </c>
      <c r="B37" s="10">
        <v>150000</v>
      </c>
      <c r="C37" s="0" t="s">
        <v>78</v>
      </c>
      <c r="D37" s="9" t="s">
        <v>79</v>
      </c>
    </row>
    <row r="39">
      <c r="A39" s="7" t="s">
        <v>80</v>
      </c>
      <c r="B39" s="7"/>
      <c r="C39" s="7"/>
      <c r="D39" s="7"/>
    </row>
    <row r="40">
      <c r="A40" s="0" t="s">
        <v>81</v>
      </c>
      <c r="B40" s="13">
        <v>0.1</v>
      </c>
      <c r="C40" s="0" t="s">
        <v>34</v>
      </c>
      <c r="D40" s="9" t="s">
        <v>82</v>
      </c>
    </row>
    <row r="41">
      <c r="A41" s="0" t="s">
        <v>83</v>
      </c>
      <c r="B41" s="13">
        <v>0.15</v>
      </c>
      <c r="C41" s="0" t="s">
        <v>34</v>
      </c>
      <c r="D41" s="9" t="s">
        <v>84</v>
      </c>
    </row>
  </sheetData>
  <mergeCells>
    <mergeCell ref="A2:D2"/>
    <mergeCell ref="A4:D4"/>
    <mergeCell ref="A10:D10"/>
    <mergeCell ref="A18:D18"/>
    <mergeCell ref="A25:D25"/>
    <mergeCell ref="A32:D32"/>
    <mergeCell ref="A39:D39"/>
  </mergeCells>
  <dataValidations count="9">
    <dataValidation type="whole" showErrorMessage="1" error="Wells: 1 to 10 (the monthly engine and the Cash Flow sheet are laid out for ten)." sqref="B5" xr:uid="{00000000-0000-4000-8000-000000000001}">
      <formula1>1</formula1>
      <formula2>10</formula2>
    </dataValidation>
    <dataValidation type="whole" showErrorMessage="1" error="First well online: month 2 or later." sqref="B6" xr:uid="{00000000-0000-4000-8000-000000000002}">
      <formula1>2</formula1>
      <formula2>24</formula2>
    </dataValidation>
    <dataValidation type="whole" showErrorMessage="1" error="Months between wells: 0 or more." sqref="B7" xr:uid="{00000000-0000-4000-8000-000000000003}">
      <formula1>0</formula1>
      <formula2>24</formula2>
    </dataValidation>
    <dataValidation type="whole" showErrorMessage="1" error="Life cap: 12 to 360 months." sqref="B8" xr:uid="{00000000-0000-4000-8000-000000000004}">
      <formula1>12</formula1>
      <formula2>360</formula2>
    </dataValidation>
    <dataValidation type="decimal" showErrorMessage="1" error="Arps exponent b: above 0 and no more than 2." sqref="B12" xr:uid="{00000000-0000-4000-8000-000000000005}">
      <formula1>0.01</formula1>
      <formula2>2</formula2>
    </dataValidation>
    <dataValidation type="decimal" showErrorMessage="1" error="Initial decline: from 1 % up to (not including) 100 %. At 0 the hyperbolic decline has no switch time." sqref="B13" xr:uid="{00000000-0000-4000-8000-000000000006}">
      <formula1>0.01</formula1>
      <formula2>0.99</formula2>
    </dataValidation>
    <dataValidation type="decimal" showErrorMessage="1" error="Terminal decline: above 0 and below 100 %." sqref="B14" xr:uid="{00000000-0000-4000-8000-000000000007}">
      <formula1>0.001</formula1>
      <formula2>0.99</formula2>
    </dataValidation>
    <dataValidation type="decimal" showErrorMessage="1" error="Working interest is a fraction above 0 and at most 1: with none there is no capital to earn on." sqref="B26" xr:uid="{00000000-0000-4000-8000-000000000008}">
      <formula1>0.001</formula1>
      <formula2>1</formula2>
    </dataValidation>
    <dataValidation type="decimal" showErrorMessage="1" error="Net revenue interest is a fraction from 0 to 1." sqref="B27" xr:uid="{00000000-0000-4000-8000-000000000009}">
      <formula1>0</formula1>
      <formula2>1</formula2>
    </dataValidation>
  </dataValidations>
  <pageSetup orientation="portrait" fitToWidth="1" fitToHeight="1"/>
  <headerFooter/>
</worksheet>
</file>

<file path=xl/worksheets/sheet3.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Q20"/>
  <sheetViews>
    <sheetView workbookViewId="0" showGridLines="0"/>
  </sheetViews>
  <sheetFormatPr defaultRowHeight="15"/>
  <cols>
    <col min="1" max="1" width="7" customWidth="1"/>
    <col min="2" max="2" width="46" customWidth="1"/>
    <col min="3" max="3" width="13" customWidth="1"/>
    <col min="4" max="4" width="15" customWidth="1"/>
    <col min="5" max="5" width="17" customWidth="1"/>
    <col min="6" max="6" width="20" customWidth="1"/>
    <col min="7" max="7" width="13" customWidth="1"/>
    <col min="8" max="8" width="9" customWidth="1"/>
    <col min="9" max="9" width="9" customWidth="1"/>
    <col min="10" max="10" width="9" customWidth="1"/>
    <col min="11" max="11" width="12" customWidth="1"/>
    <col min="12" max="12" width="12" customWidth="1"/>
    <col min="13" max="13" width="10" customWidth="1"/>
    <col min="14" max="14" width="11" customWidth="1"/>
    <col min="15" max="15" width="9" customWidth="1"/>
    <col min="16" max="16" width="17" customWidth="1"/>
    <col min="17" max="17" width="16" customWidth="1"/>
  </cols>
  <sheetData>
    <row r="1">
      <c r="A1" s="14" t="s">
        <v>85</v>
      </c>
    </row>
    <row r="2">
      <c r="B2" s="15" t="s">
        <v>86</v>
      </c>
      <c r="C2" s="8">
        <v>0</v>
      </c>
      <c r="D2" s="9" t="s">
        <v>87</v>
      </c>
    </row>
    <row r="3" ht="30" customHeight="1">
      <c r="A3" s="6" t="s">
        <v>88</v>
      </c>
      <c r="B3" s="6"/>
      <c r="C3" s="6"/>
      <c r="D3" s="6"/>
      <c r="E3" s="6"/>
      <c r="F3" s="6"/>
      <c r="G3" s="6"/>
      <c r="H3" s="6"/>
      <c r="I3" s="6"/>
      <c r="J3" s="6"/>
      <c r="K3" s="6"/>
      <c r="L3" s="6"/>
      <c r="M3" s="6"/>
      <c r="N3" s="6"/>
      <c r="O3" s="6"/>
      <c r="P3" s="6"/>
      <c r="Q3" s="6"/>
    </row>
    <row r="5" ht="30" customHeight="1">
      <c r="A5" s="4" t="s">
        <v>89</v>
      </c>
      <c r="B5" s="4" t="s">
        <v>90</v>
      </c>
      <c r="C5" s="4" t="s">
        <v>91</v>
      </c>
      <c r="D5" s="4" t="s">
        <v>92</v>
      </c>
      <c r="E5" s="4" t="s">
        <v>93</v>
      </c>
      <c r="F5" s="4" t="s">
        <v>94</v>
      </c>
      <c r="G5" s="4" t="s">
        <v>95</v>
      </c>
      <c r="H5" s="4" t="s">
        <v>17</v>
      </c>
      <c r="I5" s="4" t="s">
        <v>96</v>
      </c>
      <c r="J5" s="4" t="s">
        <v>97</v>
      </c>
      <c r="K5" s="4" t="s">
        <v>81</v>
      </c>
      <c r="L5" s="4" t="s">
        <v>98</v>
      </c>
      <c r="M5" s="4" t="s">
        <v>99</v>
      </c>
      <c r="N5" s="4" t="s">
        <v>100</v>
      </c>
      <c r="O5" s="4" t="s">
        <v>101</v>
      </c>
      <c r="P5" s="4" t="s">
        <v>102</v>
      </c>
      <c r="Q5" s="4" t="s">
        <v>103</v>
      </c>
    </row>
    <row r="6">
      <c r="A6" s="16">
        <v>1</v>
      </c>
      <c r="B6" s="17" t="s">
        <v>104</v>
      </c>
      <c r="C6" s="18">
        <f>EC_Oil</f>
        <v>70</v>
      </c>
      <c r="D6" s="18">
        <f>EC_Gas</f>
        <v>3</v>
      </c>
      <c r="E6" s="18">
        <f>EC_DC</f>
        <v>7</v>
      </c>
      <c r="F6" s="19">
        <f>EC_LOE</f>
        <v>8000</v>
      </c>
      <c r="G6" s="18">
        <f>EC_TC</f>
        <v>1</v>
      </c>
      <c r="H6" s="20">
        <f>EC_Wells</f>
        <v>8</v>
      </c>
      <c r="I6" s="21">
        <f>EC_WI</f>
        <v>1</v>
      </c>
      <c r="J6" s="21">
        <f>EC_NRI</f>
        <v>0.75</v>
      </c>
      <c r="K6" s="21">
        <f>EC_Disc</f>
        <v>0.1</v>
      </c>
      <c r="L6" s="22" cm="1">
        <f ref="L6:L6"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76.22791733931075</v>
      </c>
      <c r="M6" s="23" cm="1">
        <f ref="M6:M6"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1.124556157282652</v>
      </c>
      <c r="N6" s="16" cm="1">
        <f ref="N6:N6" t="array">PO.ECON.Payout(MODEL.CashFlow(ScenarioTable[[#This Row],[Oil $/bbl]],ScenarioTable[[#This Row],[Gas $/MMBtu]],ScenarioTable[[#This Row],[D&amp;C $MM/well]],ScenarioTable[[#This Row],[LOE $/well-month]],ScenarioTable[[#This Row],[Type curve factor]],ScenarioTable[[#This Row],[Wells]],ScenarioTable[[#This Row],[WI]],ScenarioTable[[#This Row],[NRI]]))</f>
        <v>17</v>
      </c>
      <c r="O6" s="24" cm="1">
        <f ref="O6:O6" t="array">ScenarioTable[[#This Row],[NPV $MM]]*1000000/PO.ECON.NPV.Monthly(MODEL.Capex(ScenarioTable[[#This Row],[D&amp;C $MM/well]],ScenarioTable[[#This Row],[Wells]],ScenarioTable[[#This Row],[WI]]),ScenarioTable[[#This Row],[Discount rate]])</f>
        <v>1.4217582613906914</v>
      </c>
      <c r="P6" s="25" cm="1">
        <f ref="P6:P6" t="array">MODEL.EUR(ScenarioTable[[#This Row],[Oil $/bbl]],ScenarioTable[[#This Row],[Gas $/MMBtu]],ScenarioTable[[#This Row],[LOE $/well-month]],ScenarioTable[[#This Row],[Type curve factor]],ScenarioTable[[#This Row],[WI]],ScenarioTable[[#This Row],[NRI]])/1000</f>
        <v>611.9440899929</v>
      </c>
      <c r="Q6" s="22" cm="1">
        <f ref="Q6:Q6" t="array">SUM(MODEL.CashFlow(ScenarioTable[[#This Row],[Oil $/bbl]],ScenarioTable[[#This Row],[Gas $/MMBtu]],ScenarioTable[[#This Row],[D&amp;C $MM/well]],ScenarioTable[[#This Row],[LOE $/well-month]],ScenarioTable[[#This Row],[Type curve factor]],ScenarioTable[[#This Row],[Wells]],ScenarioTable[[#This Row],[WI]],ScenarioTable[[#This Row],[NRI]]))/1000000</f>
        <v>140.07149933515387</v>
      </c>
    </row>
    <row r="7">
      <c r="A7" s="16">
        <v>2</v>
      </c>
      <c r="B7" s="17" t="s">
        <v>105</v>
      </c>
      <c r="C7" s="18">
        <v>55</v>
      </c>
      <c r="D7" s="18">
        <f>EC_Gas</f>
        <v>3</v>
      </c>
      <c r="E7" s="18">
        <f>EC_DC</f>
        <v>7</v>
      </c>
      <c r="F7" s="19">
        <f>EC_LOE</f>
        <v>8000</v>
      </c>
      <c r="G7" s="18">
        <f>EC_TC</f>
        <v>1</v>
      </c>
      <c r="H7" s="20">
        <f>EC_Wells</f>
        <v>8</v>
      </c>
      <c r="I7" s="21">
        <f>EC_WI</f>
        <v>1</v>
      </c>
      <c r="J7" s="21">
        <f>EC_NRI</f>
        <v>0.75</v>
      </c>
      <c r="K7" s="21">
        <f>EC_Disc</f>
        <v>0.1</v>
      </c>
      <c r="L7" s="22" cm="1">
        <f ref="L7:L7"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44.37598270707684</v>
      </c>
      <c r="M7" s="23" cm="1">
        <f ref="M7:M7" t="array">PO.ECON.IRR.Monthly(MODEL.CashFlow(ScenarioTable[[#This Row],[Oil $/bbl]],ScenarioTable[[#This Row],[Gas $/MMBtu]],ScenarioTable[[#This Row],[D&amp;C $MM/well]],ScenarioTable[[#This Row],[LOE $/well-month]],ScenarioTable[[#This Row],[Type curve factor]],ScenarioTable[[#This Row],[Wells]],ScenarioTable[[#This Row],[WI]],ScenarioTable[[#This Row],[NRI]]))</f>
        <v>0.5783520393010007</v>
      </c>
      <c r="N7" s="16" cm="1">
        <f ref="N7:N7" t="array">PO.ECON.Payout(MODEL.CashFlow(ScenarioTable[[#This Row],[Oil $/bbl]],ScenarioTable[[#This Row],[Gas $/MMBtu]],ScenarioTable[[#This Row],[D&amp;C $MM/well]],ScenarioTable[[#This Row],[LOE $/well-month]],ScenarioTable[[#This Row],[Type curve factor]],ScenarioTable[[#This Row],[Wells]],ScenarioTable[[#This Row],[WI]],ScenarioTable[[#This Row],[NRI]]))</f>
        <v>24</v>
      </c>
      <c r="O7" s="24" cm="1">
        <f ref="O7:O7" t="array">ScenarioTable[[#This Row],[NPV $MM]]*1000000/PO.ECON.NPV.Monthly(MODEL.Capex(ScenarioTable[[#This Row],[D&amp;C $MM/well]],ScenarioTable[[#This Row],[Wells]],ScenarioTable[[#This Row],[WI]]),ScenarioTable[[#This Row],[Discount rate]])</f>
        <v>0.8276747184404636</v>
      </c>
      <c r="P7" s="25" cm="1">
        <f ref="P7:P7" t="array">MODEL.EUR(ScenarioTable[[#This Row],[Oil $/bbl]],ScenarioTable[[#This Row],[Gas $/MMBtu]],ScenarioTable[[#This Row],[LOE $/well-month]],ScenarioTable[[#This Row],[Type curve factor]],ScenarioTable[[#This Row],[WI]],ScenarioTable[[#This Row],[NRI]])/1000</f>
        <v>611.9440899929</v>
      </c>
      <c r="Q7" s="22" cm="1">
        <f ref="Q7:Q7" t="array">SUM(MODEL.CashFlow(ScenarioTable[[#This Row],[Oil $/bbl]],ScenarioTable[[#This Row],[Gas $/MMBtu]],ScenarioTable[[#This Row],[D&amp;C $MM/well]],ScenarioTable[[#This Row],[LOE $/well-month]],ScenarioTable[[#This Row],[Type curve factor]],ScenarioTable[[#This Row],[Wells]],ScenarioTable[[#This Row],[WI]],ScenarioTable[[#This Row],[NRI]]))/1000000</f>
        <v>88.90685397084751</v>
      </c>
    </row>
    <row r="8">
      <c r="A8" s="16">
        <v>3</v>
      </c>
      <c r="B8" s="17" t="s">
        <v>106</v>
      </c>
      <c r="C8" s="18">
        <v>85</v>
      </c>
      <c r="D8" s="18">
        <f>EC_Gas</f>
        <v>3</v>
      </c>
      <c r="E8" s="18">
        <f>EC_DC</f>
        <v>7</v>
      </c>
      <c r="F8" s="19">
        <f>EC_LOE</f>
        <v>8000</v>
      </c>
      <c r="G8" s="18">
        <f>EC_TC</f>
        <v>1</v>
      </c>
      <c r="H8" s="20">
        <f>EC_Wells</f>
        <v>8</v>
      </c>
      <c r="I8" s="21">
        <f>EC_WI</f>
        <v>1</v>
      </c>
      <c r="J8" s="21">
        <f>EC_NRI</f>
        <v>0.75</v>
      </c>
      <c r="K8" s="21">
        <f>EC_Disc</f>
        <v>0.1</v>
      </c>
      <c r="L8" s="22" cm="1">
        <f ref="L8:L8"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108.07985197154447</v>
      </c>
      <c r="M8" s="23" cm="1">
        <f ref="M8:M8" t="array">PO.ECON.IRR.Monthly(MODEL.CashFlow(ScenarioTable[[#This Row],[Oil $/bbl]],ScenarioTable[[#This Row],[Gas $/MMBtu]],ScenarioTable[[#This Row],[D&amp;C $MM/well]],ScenarioTable[[#This Row],[LOE $/well-month]],ScenarioTable[[#This Row],[Type curve factor]],ScenarioTable[[#This Row],[Wells]],ScenarioTable[[#This Row],[WI]],ScenarioTable[[#This Row],[NRI]]))</f>
        <v>1.9026200761852832</v>
      </c>
      <c r="N8" s="16" cm="1">
        <f ref="N8:N8" t="array">PO.ECON.Payout(MODEL.CashFlow(ScenarioTable[[#This Row],[Oil $/bbl]],ScenarioTable[[#This Row],[Gas $/MMBtu]],ScenarioTable[[#This Row],[D&amp;C $MM/well]],ScenarioTable[[#This Row],[LOE $/well-month]],ScenarioTable[[#This Row],[Type curve factor]],ScenarioTable[[#This Row],[Wells]],ScenarioTable[[#This Row],[WI]],ScenarioTable[[#This Row],[NRI]]))</f>
        <v>14</v>
      </c>
      <c r="O8" s="24" cm="1">
        <f ref="O8:O8" t="array">ScenarioTable[[#This Row],[NPV $MM]]*1000000/PO.ECON.NPV.Monthly(MODEL.Capex(ScenarioTable[[#This Row],[D&amp;C $MM/well]],ScenarioTable[[#This Row],[Wells]],ScenarioTable[[#This Row],[WI]]),ScenarioTable[[#This Row],[Discount rate]])</f>
        <v>2.015841804340916</v>
      </c>
      <c r="P8" s="25" cm="1">
        <f ref="P8:P8" t="array">MODEL.EUR(ScenarioTable[[#This Row],[Oil $/bbl]],ScenarioTable[[#This Row],[Gas $/MMBtu]],ScenarioTable[[#This Row],[LOE $/well-month]],ScenarioTable[[#This Row],[Type curve factor]],ScenarioTable[[#This Row],[WI]],ScenarioTable[[#This Row],[NRI]])/1000</f>
        <v>611.9440899929</v>
      </c>
      <c r="Q8" s="22" cm="1">
        <f ref="Q8:Q8" t="array">SUM(MODEL.CashFlow(ScenarioTable[[#This Row],[Oil $/bbl]],ScenarioTable[[#This Row],[Gas $/MMBtu]],ScenarioTable[[#This Row],[D&amp;C $MM/well]],ScenarioTable[[#This Row],[LOE $/well-month]],ScenarioTable[[#This Row],[Type curve factor]],ScenarioTable[[#This Row],[Wells]],ScenarioTable[[#This Row],[WI]],ScenarioTable[[#This Row],[NRI]]))/1000000</f>
        <v>191.23614469946023</v>
      </c>
    </row>
    <row r="9">
      <c r="A9" s="16">
        <v>4</v>
      </c>
      <c r="B9" s="17" t="s">
        <v>107</v>
      </c>
      <c r="C9" s="18">
        <f>EC_Oil</f>
        <v>70</v>
      </c>
      <c r="D9" s="18">
        <v>1.5</v>
      </c>
      <c r="E9" s="18">
        <f>EC_DC</f>
        <v>7</v>
      </c>
      <c r="F9" s="19">
        <f>EC_LOE</f>
        <v>8000</v>
      </c>
      <c r="G9" s="18">
        <f>EC_TC</f>
        <v>1</v>
      </c>
      <c r="H9" s="20">
        <f>EC_Wells</f>
        <v>8</v>
      </c>
      <c r="I9" s="21">
        <f>EC_WI</f>
        <v>1</v>
      </c>
      <c r="J9" s="21">
        <f>EC_NRI</f>
        <v>0.75</v>
      </c>
      <c r="K9" s="21">
        <f>EC_Disc</f>
        <v>0.1</v>
      </c>
      <c r="L9" s="22" cm="1">
        <f ref="L9:L9"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71.59927237122515</v>
      </c>
      <c r="M9" s="23" cm="1">
        <f ref="M9:M9" t="array">PO.ECON.IRR.Monthly(MODEL.CashFlow(ScenarioTable[[#This Row],[Oil $/bbl]],ScenarioTable[[#This Row],[Gas $/MMBtu]],ScenarioTable[[#This Row],[D&amp;C $MM/well]],ScenarioTable[[#This Row],[LOE $/well-month]],ScenarioTable[[#This Row],[Type curve factor]],ScenarioTable[[#This Row],[Wells]],ScenarioTable[[#This Row],[WI]],ScenarioTable[[#This Row],[NRI]]))</f>
        <v>1.032303987377082</v>
      </c>
      <c r="N9" s="16" cm="1">
        <f ref="N9:N9" t="array">PO.ECON.Payout(MODEL.CashFlow(ScenarioTable[[#This Row],[Oil $/bbl]],ScenarioTable[[#This Row],[Gas $/MMBtu]],ScenarioTable[[#This Row],[D&amp;C $MM/well]],ScenarioTable[[#This Row],[LOE $/well-month]],ScenarioTable[[#This Row],[Type curve factor]],ScenarioTable[[#This Row],[Wells]],ScenarioTable[[#This Row],[WI]],ScenarioTable[[#This Row],[NRI]]))</f>
        <v>18</v>
      </c>
      <c r="O9" s="24" cm="1">
        <f ref="O9:O9" t="array">ScenarioTable[[#This Row],[NPV $MM]]*1000000/PO.ECON.NPV.Monthly(MODEL.Capex(ScenarioTable[[#This Row],[D&amp;C $MM/well]],ScenarioTable[[#This Row],[Wells]],ScenarioTable[[#This Row],[WI]]),ScenarioTable[[#This Row],[Discount rate]])</f>
        <v>1.3354274989598198</v>
      </c>
      <c r="P9" s="25" cm="1">
        <f ref="P9:P9" t="array">MODEL.EUR(ScenarioTable[[#This Row],[Oil $/bbl]],ScenarioTable[[#This Row],[Gas $/MMBtu]],ScenarioTable[[#This Row],[LOE $/well-month]],ScenarioTable[[#This Row],[Type curve factor]],ScenarioTable[[#This Row],[WI]],ScenarioTable[[#This Row],[NRI]])/1000</f>
        <v>611.9440899929</v>
      </c>
      <c r="Q9" s="22" cm="1">
        <f ref="Q9:Q9" t="array">SUM(MODEL.CashFlow(ScenarioTable[[#This Row],[Oil $/bbl]],ScenarioTable[[#This Row],[Gas $/MMBtu]],ScenarioTable[[#This Row],[D&amp;C $MM/well]],ScenarioTable[[#This Row],[LOE $/well-month]],ScenarioTable[[#This Row],[Type curve factor]],ScenarioTable[[#This Row],[Wells]],ScenarioTable[[#This Row],[WI]],ScenarioTable[[#This Row],[NRI]]))/1000000</f>
        <v>132.63637864174012</v>
      </c>
    </row>
    <row r="10">
      <c r="A10" s="16">
        <v>5</v>
      </c>
      <c r="B10" s="17" t="s">
        <v>108</v>
      </c>
      <c r="C10" s="18">
        <f>EC_Oil</f>
        <v>70</v>
      </c>
      <c r="D10" s="18">
        <f>EC_Gas</f>
        <v>3</v>
      </c>
      <c r="E10" s="18">
        <f>EC_DC*1.2</f>
        <v>8.4</v>
      </c>
      <c r="F10" s="19">
        <f>EC_LOE</f>
        <v>8000</v>
      </c>
      <c r="G10" s="18">
        <f>EC_TC</f>
        <v>1</v>
      </c>
      <c r="H10" s="20">
        <f>EC_Wells</f>
        <v>8</v>
      </c>
      <c r="I10" s="21">
        <f>EC_WI</f>
        <v>1</v>
      </c>
      <c r="J10" s="21">
        <f>EC_NRI</f>
        <v>0.75</v>
      </c>
      <c r="K10" s="21">
        <f>EC_Disc</f>
        <v>0.1</v>
      </c>
      <c r="L10" s="22" cm="1">
        <f ref="L10:L10"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65.5048683640583</v>
      </c>
      <c r="M10" s="23" cm="1">
        <f ref="M10:M10" t="array">PO.ECON.IRR.Monthly(MODEL.CashFlow(ScenarioTable[[#This Row],[Oil $/bbl]],ScenarioTable[[#This Row],[Gas $/MMBtu]],ScenarioTable[[#This Row],[D&amp;C $MM/well]],ScenarioTable[[#This Row],[LOE $/well-month]],ScenarioTable[[#This Row],[Type curve factor]],ScenarioTable[[#This Row],[Wells]],ScenarioTable[[#This Row],[WI]],ScenarioTable[[#This Row],[NRI]]))</f>
        <v>0.7199015584808297</v>
      </c>
      <c r="N10" s="16" cm="1">
        <f ref="N10:N10" t="array">PO.ECON.Payout(MODEL.CashFlow(ScenarioTable[[#This Row],[Oil $/bbl]],ScenarioTable[[#This Row],[Gas $/MMBtu]],ScenarioTable[[#This Row],[D&amp;C $MM/well]],ScenarioTable[[#This Row],[LOE $/well-month]],ScenarioTable[[#This Row],[Type curve factor]],ScenarioTable[[#This Row],[Wells]],ScenarioTable[[#This Row],[WI]],ScenarioTable[[#This Row],[NRI]]))</f>
        <v>21</v>
      </c>
      <c r="O10" s="24" cm="1">
        <f ref="O10:O10" t="array">ScenarioTable[[#This Row],[NPV $MM]]*1000000/PO.ECON.NPV.Monthly(MODEL.Capex(ScenarioTable[[#This Row],[D&amp;C $MM/well]],ScenarioTable[[#This Row],[Wells]],ScenarioTable[[#This Row],[WI]]),ScenarioTable[[#This Row],[Discount rate]])</f>
        <v>1.0181318844922427</v>
      </c>
      <c r="P10" s="25" cm="1">
        <f ref="P10:P10" t="array">MODEL.EUR(ScenarioTable[[#This Row],[Oil $/bbl]],ScenarioTable[[#This Row],[Gas $/MMBtu]],ScenarioTable[[#This Row],[LOE $/well-month]],ScenarioTable[[#This Row],[Type curve factor]],ScenarioTable[[#This Row],[WI]],ScenarioTable[[#This Row],[NRI]])/1000</f>
        <v>611.9440899929</v>
      </c>
      <c r="Q10" s="22" cm="1">
        <f ref="Q10:Q10" t="array">SUM(MODEL.CashFlow(ScenarioTable[[#This Row],[Oil $/bbl]],ScenarioTable[[#This Row],[Gas $/MMBtu]],ScenarioTable[[#This Row],[D&amp;C $MM/well]],ScenarioTable[[#This Row],[LOE $/well-month]],ScenarioTable[[#This Row],[Type curve factor]],ScenarioTable[[#This Row],[Wells]],ScenarioTable[[#This Row],[WI]],ScenarioTable[[#This Row],[NRI]]))/1000000</f>
        <v>128.87149933515386</v>
      </c>
    </row>
    <row r="11">
      <c r="A11" s="16">
        <v>6</v>
      </c>
      <c r="B11" s="17" t="s">
        <v>109</v>
      </c>
      <c r="C11" s="18">
        <f>EC_Oil</f>
        <v>70</v>
      </c>
      <c r="D11" s="18">
        <f>EC_Gas</f>
        <v>3</v>
      </c>
      <c r="E11" s="18">
        <f>EC_DC*0.85</f>
        <v>5.95</v>
      </c>
      <c r="F11" s="19">
        <f>EC_LOE</f>
        <v>8000</v>
      </c>
      <c r="G11" s="18">
        <f>EC_TC</f>
        <v>1</v>
      </c>
      <c r="H11" s="20">
        <f>EC_Wells</f>
        <v>8</v>
      </c>
      <c r="I11" s="21">
        <f>EC_WI</f>
        <v>1</v>
      </c>
      <c r="J11" s="21">
        <f>EC_NRI</f>
        <v>0.75</v>
      </c>
      <c r="K11" s="21">
        <f>EC_Disc</f>
        <v>0.1</v>
      </c>
      <c r="L11" s="22" cm="1">
        <f ref="L11:L11"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84.27020407075004</v>
      </c>
      <c r="M11" s="23" cm="1">
        <f ref="M11:M11" t="array">PO.ECON.IRR.Monthly(MODEL.CashFlow(ScenarioTable[[#This Row],[Oil $/bbl]],ScenarioTable[[#This Row],[Gas $/MMBtu]],ScenarioTable[[#This Row],[D&amp;C $MM/well]],ScenarioTable[[#This Row],[LOE $/well-month]],ScenarioTable[[#This Row],[Type curve factor]],ScenarioTable[[#This Row],[Wells]],ScenarioTable[[#This Row],[WI]],ScenarioTable[[#This Row],[NRI]]))</f>
        <v>1.6810014410031457</v>
      </c>
      <c r="N11" s="16" cm="1">
        <f ref="N11:N11" t="array">PO.ECON.Payout(MODEL.CashFlow(ScenarioTable[[#This Row],[Oil $/bbl]],ScenarioTable[[#This Row],[Gas $/MMBtu]],ScenarioTable[[#This Row],[D&amp;C $MM/well]],ScenarioTable[[#This Row],[LOE $/well-month]],ScenarioTable[[#This Row],[Type curve factor]],ScenarioTable[[#This Row],[Wells]],ScenarioTable[[#This Row],[WI]],ScenarioTable[[#This Row],[NRI]]))</f>
        <v>15</v>
      </c>
      <c r="O11" s="24" cm="1">
        <f ref="O11:O11" t="array">ScenarioTable[[#This Row],[NPV $MM]]*1000000/PO.ECON.NPV.Monthly(MODEL.Capex(ScenarioTable[[#This Row],[D&amp;C $MM/well]],ScenarioTable[[#This Row],[Wells]],ScenarioTable[[#This Row],[WI]]),ScenarioTable[[#This Row],[Discount rate]])</f>
        <v>1.8491273663419894</v>
      </c>
      <c r="P11" s="25" cm="1">
        <f ref="P11:P11" t="array">MODEL.EUR(ScenarioTable[[#This Row],[Oil $/bbl]],ScenarioTable[[#This Row],[Gas $/MMBtu]],ScenarioTable[[#This Row],[LOE $/well-month]],ScenarioTable[[#This Row],[Type curve factor]],ScenarioTable[[#This Row],[WI]],ScenarioTable[[#This Row],[NRI]])/1000</f>
        <v>611.9440899929</v>
      </c>
      <c r="Q11" s="22" cm="1">
        <f ref="Q11:Q11" t="array">SUM(MODEL.CashFlow(ScenarioTable[[#This Row],[Oil $/bbl]],ScenarioTable[[#This Row],[Gas $/MMBtu]],ScenarioTable[[#This Row],[D&amp;C $MM/well]],ScenarioTable[[#This Row],[LOE $/well-month]],ScenarioTable[[#This Row],[Type curve factor]],ScenarioTable[[#This Row],[Wells]],ScenarioTable[[#This Row],[WI]],ScenarioTable[[#This Row],[NRI]]))/1000000</f>
        <v>148.47149933515388</v>
      </c>
    </row>
    <row r="12">
      <c r="A12" s="16">
        <v>7</v>
      </c>
      <c r="B12" s="17" t="s">
        <v>110</v>
      </c>
      <c r="C12" s="18">
        <f>EC_Oil</f>
        <v>70</v>
      </c>
      <c r="D12" s="18">
        <f>EC_Gas</f>
        <v>3</v>
      </c>
      <c r="E12" s="18">
        <f>EC_DC</f>
        <v>7</v>
      </c>
      <c r="F12" s="19">
        <f>EC_LOE*1.25</f>
        <v>10000</v>
      </c>
      <c r="G12" s="18">
        <f>EC_TC</f>
        <v>1</v>
      </c>
      <c r="H12" s="20">
        <f>EC_Wells</f>
        <v>8</v>
      </c>
      <c r="I12" s="21">
        <f>EC_WI</f>
        <v>1</v>
      </c>
      <c r="J12" s="21">
        <f>EC_NRI</f>
        <v>0.75</v>
      </c>
      <c r="K12" s="21">
        <f>EC_Disc</f>
        <v>0.1</v>
      </c>
      <c r="L12" s="22" cm="1">
        <f ref="L12:L12"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74.41696952052276</v>
      </c>
      <c r="M12" s="23" cm="1">
        <f ref="M12:M12" t="array">PO.ECON.IRR.Monthly(MODEL.CashFlow(ScenarioTable[[#This Row],[Oil $/bbl]],ScenarioTable[[#This Row],[Gas $/MMBtu]],ScenarioTable[[#This Row],[D&amp;C $MM/well]],ScenarioTable[[#This Row],[LOE $/well-month]],ScenarioTable[[#This Row],[Type curve factor]],ScenarioTable[[#This Row],[Wells]],ScenarioTable[[#This Row],[WI]],ScenarioTable[[#This Row],[NRI]]))</f>
        <v>1.1124057541471206</v>
      </c>
      <c r="N12" s="16" cm="1">
        <f ref="N12:N12" t="array">PO.ECON.Payout(MODEL.CashFlow(ScenarioTable[[#This Row],[Oil $/bbl]],ScenarioTable[[#This Row],[Gas $/MMBtu]],ScenarioTable[[#This Row],[D&amp;C $MM/well]],ScenarioTable[[#This Row],[LOE $/well-month]],ScenarioTable[[#This Row],[Type curve factor]],ScenarioTable[[#This Row],[Wells]],ScenarioTable[[#This Row],[WI]],ScenarioTable[[#This Row],[NRI]]))</f>
        <v>17</v>
      </c>
      <c r="O12" s="24" cm="1">
        <f ref="O12:O12" t="array">ScenarioTable[[#This Row],[NPV $MM]]*1000000/PO.ECON.NPV.Monthly(MODEL.Capex(ScenarioTable[[#This Row],[D&amp;C $MM/well]],ScenarioTable[[#This Row],[Wells]],ScenarioTable[[#This Row],[WI]]),ScenarioTable[[#This Row],[Discount rate]])</f>
        <v>1.3879815282438515</v>
      </c>
      <c r="P12" s="25" cm="1">
        <f ref="P12:P12" t="array">MODEL.EUR(ScenarioTable[[#This Row],[Oil $/bbl]],ScenarioTable[[#This Row],[Gas $/MMBtu]],ScenarioTable[[#This Row],[LOE $/well-month]],ScenarioTable[[#This Row],[Type curve factor]],ScenarioTable[[#This Row],[WI]],ScenarioTable[[#This Row],[NRI]])/1000</f>
        <v>611.9440899929</v>
      </c>
      <c r="Q12" s="22" cm="1">
        <f ref="Q12:Q12" t="array">SUM(MODEL.CashFlow(ScenarioTable[[#This Row],[Oil $/bbl]],ScenarioTable[[#This Row],[Gas $/MMBtu]],ScenarioTable[[#This Row],[D&amp;C $MM/well]],ScenarioTable[[#This Row],[LOE $/well-month]],ScenarioTable[[#This Row],[Type curve factor]],ScenarioTable[[#This Row],[Wells]],ScenarioTable[[#This Row],[WI]],ScenarioTable[[#This Row],[NRI]]))/1000000</f>
        <v>134.31149933515388</v>
      </c>
    </row>
    <row r="13">
      <c r="A13" s="16">
        <v>8</v>
      </c>
      <c r="B13" s="17" t="s">
        <v>111</v>
      </c>
      <c r="C13" s="18">
        <f>EC_Oil</f>
        <v>70</v>
      </c>
      <c r="D13" s="18">
        <f>EC_Gas</f>
        <v>3</v>
      </c>
      <c r="E13" s="18">
        <f>EC_DC</f>
        <v>7</v>
      </c>
      <c r="F13" s="19">
        <f>EC_LOE</f>
        <v>8000</v>
      </c>
      <c r="G13" s="18">
        <v>0.75</v>
      </c>
      <c r="H13" s="20">
        <f>EC_Wells</f>
        <v>8</v>
      </c>
      <c r="I13" s="21">
        <f>EC_WI</f>
        <v>1</v>
      </c>
      <c r="J13" s="21">
        <f>EC_NRI</f>
        <v>0.75</v>
      </c>
      <c r="K13" s="21">
        <f>EC_Disc</f>
        <v>0.1</v>
      </c>
      <c r="L13" s="22" cm="1">
        <f ref="L13:L13"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41.93834890966181</v>
      </c>
      <c r="M13" s="23" cm="1">
        <f ref="M13:M13" t="array">PO.ECON.IRR.Monthly(MODEL.CashFlow(ScenarioTable[[#This Row],[Oil $/bbl]],ScenarioTable[[#This Row],[Gas $/MMBtu]],ScenarioTable[[#This Row],[D&amp;C $MM/well]],ScenarioTable[[#This Row],[LOE $/well-month]],ScenarioTable[[#This Row],[Type curve factor]],ScenarioTable[[#This Row],[Wells]],ScenarioTable[[#This Row],[WI]],ScenarioTable[[#This Row],[NRI]]))</f>
        <v>0.5444385890895742</v>
      </c>
      <c r="N13" s="16" cm="1">
        <f ref="N13:N13" t="array">PO.ECON.Payout(MODEL.CashFlow(ScenarioTable[[#This Row],[Oil $/bbl]],ScenarioTable[[#This Row],[Gas $/MMBtu]],ScenarioTable[[#This Row],[D&amp;C $MM/well]],ScenarioTable[[#This Row],[LOE $/well-month]],ScenarioTable[[#This Row],[Type curve factor]],ScenarioTable[[#This Row],[Wells]],ScenarioTable[[#This Row],[WI]],ScenarioTable[[#This Row],[NRI]]))</f>
        <v>24</v>
      </c>
      <c r="O13" s="24" cm="1">
        <f ref="O13:O13" t="array">ScenarioTable[[#This Row],[NPV $MM]]*1000000/PO.ECON.NPV.Monthly(MODEL.Capex(ScenarioTable[[#This Row],[D&amp;C $MM/well]],ScenarioTable[[#This Row],[Wells]],ScenarioTable[[#This Row],[WI]]),ScenarioTable[[#This Row],[Discount rate]])</f>
        <v>0.7822094071648963</v>
      </c>
      <c r="P13" s="25" cm="1">
        <f ref="P13:P13" t="array">MODEL.EUR(ScenarioTable[[#This Row],[Oil $/bbl]],ScenarioTable[[#This Row],[Gas $/MMBtu]],ScenarioTable[[#This Row],[LOE $/well-month]],ScenarioTable[[#This Row],[Type curve factor]],ScenarioTable[[#This Row],[WI]],ScenarioTable[[#This Row],[NRI]])/1000</f>
        <v>458.4285620946943</v>
      </c>
      <c r="Q13" s="22" cm="1">
        <f ref="Q13:Q13" t="array">SUM(MODEL.CashFlow(ScenarioTable[[#This Row],[Oil $/bbl]],ScenarioTable[[#This Row],[Gas $/MMBtu]],ScenarioTable[[#This Row],[D&amp;C $MM/well]],ScenarioTable[[#This Row],[LOE $/well-month]],ScenarioTable[[#This Row],[Type curve factor]],ScenarioTable[[#This Row],[Wells]],ScenarioTable[[#This Row],[WI]],ScenarioTable[[#This Row],[NRI]]))/1000000</f>
        <v>84.99499249676975</v>
      </c>
    </row>
    <row r="14">
      <c r="A14" s="16">
        <v>9</v>
      </c>
      <c r="B14" s="17" t="s">
        <v>112</v>
      </c>
      <c r="C14" s="18">
        <f>EC_Oil</f>
        <v>70</v>
      </c>
      <c r="D14" s="18">
        <f>EC_Gas</f>
        <v>3</v>
      </c>
      <c r="E14" s="18">
        <f>EC_DC</f>
        <v>7</v>
      </c>
      <c r="F14" s="19">
        <f>EC_LOE</f>
        <v>8000</v>
      </c>
      <c r="G14" s="18">
        <v>1.3</v>
      </c>
      <c r="H14" s="20">
        <f>EC_Wells</f>
        <v>8</v>
      </c>
      <c r="I14" s="21">
        <f>EC_WI</f>
        <v>1</v>
      </c>
      <c r="J14" s="21">
        <f>EC_NRI</f>
        <v>0.75</v>
      </c>
      <c r="K14" s="21">
        <f>EC_Disc</f>
        <v>0.1</v>
      </c>
      <c r="L14" s="22" cm="1">
        <f ref="L14:L14"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117.37359962981014</v>
      </c>
      <c r="M14" s="23" cm="1">
        <f ref="M14:M14" t="array">PO.ECON.IRR.Monthly(MODEL.CashFlow(ScenarioTable[[#This Row],[Oil $/bbl]],ScenarioTable[[#This Row],[Gas $/MMBtu]],ScenarioTable[[#This Row],[D&amp;C $MM/well]],ScenarioTable[[#This Row],[LOE $/well-month]],ScenarioTable[[#This Row],[Type curve factor]],ScenarioTable[[#This Row],[Wells]],ScenarioTable[[#This Row],[WI]],ScenarioTable[[#This Row],[NRI]]))</f>
        <v>2.1837757247832674</v>
      </c>
      <c r="N14" s="16" cm="1">
        <f ref="N14:N14" t="array">PO.ECON.Payout(MODEL.CashFlow(ScenarioTable[[#This Row],[Oil $/bbl]],ScenarioTable[[#This Row],[Gas $/MMBtu]],ScenarioTable[[#This Row],[D&amp;C $MM/well]],ScenarioTable[[#This Row],[LOE $/well-month]],ScenarioTable[[#This Row],[Type curve factor]],ScenarioTable[[#This Row],[Wells]],ScenarioTable[[#This Row],[WI]],ScenarioTable[[#This Row],[NRI]]))</f>
        <v>14</v>
      </c>
      <c r="O14" s="24" cm="1">
        <f ref="O14:O14" t="array">ScenarioTable[[#This Row],[NPV $MM]]*1000000/PO.ECON.NPV.Monthly(MODEL.Capex(ScenarioTable[[#This Row],[D&amp;C $MM/well]],ScenarioTable[[#This Row],[Wells]],ScenarioTable[[#This Row],[WI]]),ScenarioTable[[#This Row],[Discount rate]])</f>
        <v>2.1891833171832906</v>
      </c>
      <c r="P14" s="25" cm="1">
        <f ref="P14:P14" t="array">MODEL.EUR(ScenarioTable[[#This Row],[Oil $/bbl]],ScenarioTable[[#This Row],[Gas $/MMBtu]],ScenarioTable[[#This Row],[LOE $/well-month]],ScenarioTable[[#This Row],[Type curve factor]],ScenarioTable[[#This Row],[WI]],ScenarioTable[[#This Row],[NRI]])/1000</f>
        <v>795.5273169907699</v>
      </c>
      <c r="Q14" s="22" cm="1">
        <f ref="Q14:Q14" t="array">SUM(MODEL.CashFlow(ScenarioTable[[#This Row],[Oil $/bbl]],ScenarioTable[[#This Row],[Gas $/MMBtu]],ScenarioTable[[#This Row],[D&amp;C $MM/well]],ScenarioTable[[#This Row],[LOE $/well-month]],ScenarioTable[[#This Row],[Type curve factor]],ScenarioTable[[#This Row],[Wells]],ScenarioTable[[#This Row],[WI]],ScenarioTable[[#This Row],[NRI]]))/1000000</f>
        <v>206.16494913570006</v>
      </c>
    </row>
    <row r="15">
      <c r="A15" s="16">
        <v>10</v>
      </c>
      <c r="B15" s="17" t="s">
        <v>113</v>
      </c>
      <c r="C15" s="18">
        <f>EC_Oil</f>
        <v>70</v>
      </c>
      <c r="D15" s="18">
        <f>EC_Gas</f>
        <v>3</v>
      </c>
      <c r="E15" s="18">
        <f>EC_DC</f>
        <v>7</v>
      </c>
      <c r="F15" s="19">
        <f>EC_LOE</f>
        <v>8000</v>
      </c>
      <c r="G15" s="18">
        <f>EC_TC</f>
        <v>1</v>
      </c>
      <c r="H15" s="20">
        <v>5</v>
      </c>
      <c r="I15" s="21">
        <f>EC_WI</f>
        <v>1</v>
      </c>
      <c r="J15" s="21">
        <f>EC_NRI</f>
        <v>0.75</v>
      </c>
      <c r="K15" s="21">
        <f>EC_Disc</f>
        <v>0.1</v>
      </c>
      <c r="L15" s="22" cm="1">
        <f ref="L15:L15"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48.20850231822911</v>
      </c>
      <c r="M15" s="23" cm="1">
        <f ref="M15:M15"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1.1245561572832528</v>
      </c>
      <c r="N15" s="16" cm="1">
        <f ref="N15:N15" t="array">PO.ECON.Payout(MODEL.CashFlow(ScenarioTable[[#This Row],[Oil $/bbl]],ScenarioTable[[#This Row],[Gas $/MMBtu]],ScenarioTable[[#This Row],[D&amp;C $MM/well]],ScenarioTable[[#This Row],[LOE $/well-month]],ScenarioTable[[#This Row],[Type curve factor]],ScenarioTable[[#This Row],[Wells]],ScenarioTable[[#This Row],[WI]],ScenarioTable[[#This Row],[NRI]]))</f>
        <v>16</v>
      </c>
      <c r="O15" s="24" cm="1">
        <f ref="O15:O15" t="array">ScenarioTable[[#This Row],[NPV $MM]]*1000000/PO.ECON.NPV.Monthly(MODEL.Capex(ScenarioTable[[#This Row],[D&amp;C $MM/well]],ScenarioTable[[#This Row],[Wells]],ScenarioTable[[#This Row],[WI]]),ScenarioTable[[#This Row],[Discount rate]])</f>
        <v>1.4217582613906898</v>
      </c>
      <c r="P15" s="25" cm="1">
        <f ref="P15:P15" t="array">MODEL.EUR(ScenarioTable[[#This Row],[Oil $/bbl]],ScenarioTable[[#This Row],[Gas $/MMBtu]],ScenarioTable[[#This Row],[LOE $/well-month]],ScenarioTable[[#This Row],[Type curve factor]],ScenarioTable[[#This Row],[WI]],ScenarioTable[[#This Row],[NRI]])/1000</f>
        <v>611.9440899929</v>
      </c>
      <c r="Q15" s="22" cm="1">
        <f ref="Q15:Q15" t="array">SUM(MODEL.CashFlow(ScenarioTable[[#This Row],[Oil $/bbl]],ScenarioTable[[#This Row],[Gas $/MMBtu]],ScenarioTable[[#This Row],[D&amp;C $MM/well]],ScenarioTable[[#This Row],[LOE $/well-month]],ScenarioTable[[#This Row],[Type curve factor]],ScenarioTable[[#This Row],[Wells]],ScenarioTable[[#This Row],[WI]],ScenarioTable[[#This Row],[NRI]]))/1000000</f>
        <v>87.54468708447116</v>
      </c>
    </row>
    <row r="16">
      <c r="A16" s="16">
        <v>11</v>
      </c>
      <c r="B16" s="17" t="s">
        <v>114</v>
      </c>
      <c r="C16" s="18">
        <f>EC_Oil</f>
        <v>70</v>
      </c>
      <c r="D16" s="18">
        <f>EC_Gas</f>
        <v>3</v>
      </c>
      <c r="E16" s="18">
        <f>EC_DC</f>
        <v>7</v>
      </c>
      <c r="F16" s="19">
        <f>EC_LOE</f>
        <v>8000</v>
      </c>
      <c r="G16" s="18">
        <f>EC_TC</f>
        <v>1</v>
      </c>
      <c r="H16" s="20">
        <v>10</v>
      </c>
      <c r="I16" s="21">
        <f>EC_WI</f>
        <v>1</v>
      </c>
      <c r="J16" s="21">
        <f>EC_NRI</f>
        <v>0.75</v>
      </c>
      <c r="K16" s="21">
        <f>EC_Disc</f>
        <v>0.1</v>
      </c>
      <c r="L16" s="22" cm="1">
        <f ref="L16:L16"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94.54003715449747</v>
      </c>
      <c r="M16" s="23" cm="1">
        <f ref="M16:M16"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1.1245561572820724</v>
      </c>
      <c r="N16" s="16" cm="1">
        <f ref="N16:N16" t="array">PO.ECON.Payout(MODEL.CashFlow(ScenarioTable[[#This Row],[Oil $/bbl]],ScenarioTable[[#This Row],[Gas $/MMBtu]],ScenarioTable[[#This Row],[D&amp;C $MM/well]],ScenarioTable[[#This Row],[LOE $/well-month]],ScenarioTable[[#This Row],[Type curve factor]],ScenarioTable[[#This Row],[Wells]],ScenarioTable[[#This Row],[WI]],ScenarioTable[[#This Row],[NRI]]))</f>
        <v>18</v>
      </c>
      <c r="O16" s="24" cm="1">
        <f ref="O16:O16" t="array">ScenarioTable[[#This Row],[NPV $MM]]*1000000/PO.ECON.NPV.Monthly(MODEL.Capex(ScenarioTable[[#This Row],[D&amp;C $MM/well]],ScenarioTable[[#This Row],[Wells]],ScenarioTable[[#This Row],[WI]]),ScenarioTable[[#This Row],[Discount rate]])</f>
        <v>1.4217582613906912</v>
      </c>
      <c r="P16" s="25" cm="1">
        <f ref="P16:P16" t="array">MODEL.EUR(ScenarioTable[[#This Row],[Oil $/bbl]],ScenarioTable[[#This Row],[Gas $/MMBtu]],ScenarioTable[[#This Row],[LOE $/well-month]],ScenarioTable[[#This Row],[Type curve factor]],ScenarioTable[[#This Row],[WI]],ScenarioTable[[#This Row],[NRI]])/1000</f>
        <v>611.9440899929</v>
      </c>
      <c r="Q16" s="22" cm="1">
        <f ref="Q16:Q16" t="array">SUM(MODEL.CashFlow(ScenarioTable[[#This Row],[Oil $/bbl]],ScenarioTable[[#This Row],[Gas $/MMBtu]],ScenarioTable[[#This Row],[D&amp;C $MM/well]],ScenarioTable[[#This Row],[LOE $/well-month]],ScenarioTable[[#This Row],[Type curve factor]],ScenarioTable[[#This Row],[Wells]],ScenarioTable[[#This Row],[WI]],ScenarioTable[[#This Row],[NRI]]))/1000000</f>
        <v>175.08937416894233</v>
      </c>
    </row>
    <row r="17">
      <c r="A17" s="16">
        <v>12</v>
      </c>
      <c r="B17" s="17" t="s">
        <v>115</v>
      </c>
      <c r="C17" s="18">
        <f>EC_Oil</f>
        <v>70</v>
      </c>
      <c r="D17" s="18">
        <f>EC_Gas</f>
        <v>3</v>
      </c>
      <c r="E17" s="18">
        <f>EC_DC</f>
        <v>7</v>
      </c>
      <c r="F17" s="19">
        <f>EC_LOE</f>
        <v>8000</v>
      </c>
      <c r="G17" s="18">
        <f>EC_TC</f>
        <v>1</v>
      </c>
      <c r="H17" s="20">
        <f>EC_Wells</f>
        <v>8</v>
      </c>
      <c r="I17" s="21">
        <f>EC_WI</f>
        <v>1</v>
      </c>
      <c r="J17" s="21">
        <f>EC_NRI</f>
        <v>0.75</v>
      </c>
      <c r="K17" s="21">
        <v>0.08</v>
      </c>
      <c r="L17" s="22" cm="1">
        <f ref="L17:L17"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84.46415390335859</v>
      </c>
      <c r="M17" s="23" cm="1">
        <f ref="M17:M17"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1.124556157282652</v>
      </c>
      <c r="N17" s="16" cm="1">
        <f ref="N17:N17" t="array">PO.ECON.Payout(MODEL.CashFlow(ScenarioTable[[#This Row],[Oil $/bbl]],ScenarioTable[[#This Row],[Gas $/MMBtu]],ScenarioTable[[#This Row],[D&amp;C $MM/well]],ScenarioTable[[#This Row],[LOE $/well-month]],ScenarioTable[[#This Row],[Type curve factor]],ScenarioTable[[#This Row],[Wells]],ScenarioTable[[#This Row],[WI]],ScenarioTable[[#This Row],[NRI]]))</f>
        <v>17</v>
      </c>
      <c r="O17" s="24" cm="1">
        <f ref="O17:O17" t="array">ScenarioTable[[#This Row],[NPV $MM]]*1000000/PO.ECON.NPV.Monthly(MODEL.Capex(ScenarioTable[[#This Row],[D&amp;C $MM/well]],ScenarioTable[[#This Row],[Wells]],ScenarioTable[[#This Row],[WI]]),ScenarioTable[[#This Row],[Discount rate]])</f>
        <v>1.5622723265452922</v>
      </c>
      <c r="P17" s="25" cm="1">
        <f ref="P17:P17" t="array">MODEL.EUR(ScenarioTable[[#This Row],[Oil $/bbl]],ScenarioTable[[#This Row],[Gas $/MMBtu]],ScenarioTable[[#This Row],[LOE $/well-month]],ScenarioTable[[#This Row],[Type curve factor]],ScenarioTable[[#This Row],[WI]],ScenarioTable[[#This Row],[NRI]])/1000</f>
        <v>611.9440899929</v>
      </c>
      <c r="Q17" s="22" cm="1">
        <f ref="Q17:Q17" t="array">SUM(MODEL.CashFlow(ScenarioTable[[#This Row],[Oil $/bbl]],ScenarioTable[[#This Row],[Gas $/MMBtu]],ScenarioTable[[#This Row],[D&amp;C $MM/well]],ScenarioTable[[#This Row],[LOE $/well-month]],ScenarioTable[[#This Row],[Type curve factor]],ScenarioTable[[#This Row],[Wells]],ScenarioTable[[#This Row],[WI]],ScenarioTable[[#This Row],[NRI]]))/1000000</f>
        <v>140.07149933515387</v>
      </c>
    </row>
    <row r="18">
      <c r="A18" s="16">
        <v>13</v>
      </c>
      <c r="B18" s="17" t="s">
        <v>116</v>
      </c>
      <c r="C18" s="18">
        <f>EC_Oil</f>
        <v>70</v>
      </c>
      <c r="D18" s="18">
        <f>EC_Gas</f>
        <v>3</v>
      </c>
      <c r="E18" s="18">
        <f>EC_DC</f>
        <v>7</v>
      </c>
      <c r="F18" s="19">
        <f>EC_LOE</f>
        <v>8000</v>
      </c>
      <c r="G18" s="18">
        <f>EC_TC</f>
        <v>1</v>
      </c>
      <c r="H18" s="20">
        <f>EC_Wells</f>
        <v>8</v>
      </c>
      <c r="I18" s="21">
        <f>EC_WI</f>
        <v>1</v>
      </c>
      <c r="J18" s="21">
        <f>EC_NRI</f>
        <v>0.75</v>
      </c>
      <c r="K18" s="21">
        <v>0.12</v>
      </c>
      <c r="L18" s="22" cm="1">
        <f ref="L18:L18"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69.24410987020364</v>
      </c>
      <c r="M18" s="23" cm="1">
        <f ref="M18:M18"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1.124556157282652</v>
      </c>
      <c r="N18" s="16" cm="1">
        <f ref="N18:N18" t="array">PO.ECON.Payout(MODEL.CashFlow(ScenarioTable[[#This Row],[Oil $/bbl]],ScenarioTable[[#This Row],[Gas $/MMBtu]],ScenarioTable[[#This Row],[D&amp;C $MM/well]],ScenarioTable[[#This Row],[LOE $/well-month]],ScenarioTable[[#This Row],[Type curve factor]],ScenarioTable[[#This Row],[Wells]],ScenarioTable[[#This Row],[WI]],ScenarioTable[[#This Row],[NRI]]))</f>
        <v>17</v>
      </c>
      <c r="O18" s="24" cm="1">
        <f ref="O18:O18" t="array">ScenarioTable[[#This Row],[NPV $MM]]*1000000/PO.ECON.NPV.Monthly(MODEL.Capex(ScenarioTable[[#This Row],[D&amp;C $MM/well]],ScenarioTable[[#This Row],[Wells]],ScenarioTable[[#This Row],[WI]]),ScenarioTable[[#This Row],[Discount rate]])</f>
        <v>1.3021211593381992</v>
      </c>
      <c r="P18" s="25" cm="1">
        <f ref="P18:P18" t="array">MODEL.EUR(ScenarioTable[[#This Row],[Oil $/bbl]],ScenarioTable[[#This Row],[Gas $/MMBtu]],ScenarioTable[[#This Row],[LOE $/well-month]],ScenarioTable[[#This Row],[Type curve factor]],ScenarioTable[[#This Row],[WI]],ScenarioTable[[#This Row],[NRI]])/1000</f>
        <v>611.9440899929</v>
      </c>
      <c r="Q18" s="22" cm="1">
        <f ref="Q18:Q18" t="array">SUM(MODEL.CashFlow(ScenarioTable[[#This Row],[Oil $/bbl]],ScenarioTable[[#This Row],[Gas $/MMBtu]],ScenarioTable[[#This Row],[D&amp;C $MM/well]],ScenarioTable[[#This Row],[LOE $/well-month]],ScenarioTable[[#This Row],[Type curve factor]],ScenarioTable[[#This Row],[Wells]],ScenarioTable[[#This Row],[WI]],ScenarioTable[[#This Row],[NRI]]))/1000000</f>
        <v>140.07149933515387</v>
      </c>
    </row>
    <row r="19">
      <c r="A19" s="16">
        <v>14</v>
      </c>
      <c r="B19" s="17" t="s">
        <v>117</v>
      </c>
      <c r="C19" s="18">
        <v>50</v>
      </c>
      <c r="D19" s="18">
        <v>1.5</v>
      </c>
      <c r="E19" s="18">
        <f>EC_DC*1.2</f>
        <v>8.4</v>
      </c>
      <c r="F19" s="19">
        <f>EC_LOE*1.25</f>
        <v>10000</v>
      </c>
      <c r="G19" s="18">
        <v>0.75</v>
      </c>
      <c r="H19" s="20">
        <f>EC_Wells</f>
        <v>8</v>
      </c>
      <c r="I19" s="21">
        <f>EC_WI</f>
        <v>1</v>
      </c>
      <c r="J19" s="21">
        <f>EC_NRI</f>
        <v>0.75</v>
      </c>
      <c r="K19" s="21">
        <f>EC_Disc</f>
        <v>0.1</v>
      </c>
      <c r="L19" s="22" cm="1">
        <f ref="L19:L19"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-5.8441532604322415</v>
      </c>
      <c r="M19" s="23" cm="1">
        <f ref="M19:M19" t="array">PO.ECON.IRR.Monthly(MODEL.CashFlow(ScenarioTable[[#This Row],[Oil $/bbl]],ScenarioTable[[#This Row],[Gas $/MMBtu]],ScenarioTable[[#This Row],[D&amp;C $MM/well]],ScenarioTable[[#This Row],[LOE $/well-month]],ScenarioTable[[#This Row],[Type curve factor]],ScenarioTable[[#This Row],[Wells]],ScenarioTable[[#This Row],[WI]],ScenarioTable[[#This Row],[NRI]]))</f>
        <v>0.060260914939552546</v>
      </c>
      <c r="N19" s="16" cm="1">
        <f ref="N19:N19" t="array">PO.ECON.Payout(MODEL.CashFlow(ScenarioTable[[#This Row],[Oil $/bbl]],ScenarioTable[[#This Row],[Gas $/MMBtu]],ScenarioTable[[#This Row],[D&amp;C $MM/well]],ScenarioTable[[#This Row],[LOE $/well-month]],ScenarioTable[[#This Row],[Type curve factor]],ScenarioTable[[#This Row],[Wells]],ScenarioTable[[#This Row],[WI]],ScenarioTable[[#This Row],[NRI]]))</f>
        <v>92</v>
      </c>
      <c r="O19" s="24" cm="1">
        <f ref="O19:O19" t="array">ScenarioTable[[#This Row],[NPV $MM]]*1000000/PO.ECON.NPV.Monthly(MODEL.Capex(ScenarioTable[[#This Row],[D&amp;C $MM/well]],ScenarioTable[[#This Row],[Wells]],ScenarioTable[[#This Row],[WI]]),ScenarioTable[[#This Row],[Discount rate]])</f>
        <v>-0.09083475657467498</v>
      </c>
      <c r="P19" s="25" cm="1">
        <f ref="P19:P19" t="array">MODEL.EUR(ScenarioTable[[#This Row],[Oil $/bbl]],ScenarioTable[[#This Row],[Gas $/MMBtu]],ScenarioTable[[#This Row],[LOE $/well-month]],ScenarioTable[[#This Row],[Type curve factor]],ScenarioTable[[#This Row],[WI]],ScenarioTable[[#This Row],[NRI]])/1000</f>
        <v>435.1152902103698</v>
      </c>
      <c r="Q19" s="22" cm="1">
        <f ref="Q19:Q19" t="array">SUM(MODEL.CashFlow(ScenarioTable[[#This Row],[Oil $/bbl]],ScenarioTable[[#This Row],[Gas $/MMBtu]],ScenarioTable[[#This Row],[D&amp;C $MM/well]],ScenarioTable[[#This Row],[LOE $/well-month]],ScenarioTable[[#This Row],[Type curve factor]],ScenarioTable[[#This Row],[Wells]],ScenarioTable[[#This Row],[WI]],ScenarioTable[[#This Row],[NRI]]))/1000000</f>
        <v>13.336468337539092</v>
      </c>
    </row>
    <row r="20">
      <c r="A20" s="16">
        <v>15</v>
      </c>
      <c r="B20" s="17" t="s">
        <v>118</v>
      </c>
      <c r="C20" s="18">
        <f>EC_Oil</f>
        <v>70</v>
      </c>
      <c r="D20" s="18">
        <f>EC_Gas</f>
        <v>3</v>
      </c>
      <c r="E20" s="18">
        <f>EC_DC</f>
        <v>7</v>
      </c>
      <c r="F20" s="19">
        <f>EC_LOE</f>
        <v>8000</v>
      </c>
      <c r="G20" s="18">
        <f>EC_TC</f>
        <v>1</v>
      </c>
      <c r="H20" s="20">
        <f>EC_Wells</f>
        <v>8</v>
      </c>
      <c r="I20" s="21">
        <v>0.4</v>
      </c>
      <c r="J20" s="21">
        <f>EC_NRI*0.4</f>
        <v>0.30000000000000004</v>
      </c>
      <c r="K20" s="21">
        <f>EC_Disc</f>
        <v>0.1</v>
      </c>
      <c r="L20" s="22" cm="1">
        <f ref="L20:L20" t="array">PO.ECON.NPV.Monthly(MODEL.CashFlow(ScenarioTable[[#This Row],[Oil $/bbl]],ScenarioTable[[#This Row],[Gas $/MMBtu]],ScenarioTable[[#This Row],[D&amp;C $MM/well]],ScenarioTable[[#This Row],[LOE $/well-month]],ScenarioTable[[#This Row],[Type curve factor]],ScenarioTable[[#This Row],[Wells]],ScenarioTable[[#This Row],[WI]],ScenarioTable[[#This Row],[NRI]]),ScenarioTable[[#This Row],[Discount rate]])/1000000</f>
        <v>30.491166935724273</v>
      </c>
      <c r="M20" s="23" cm="1">
        <f ref="M20:M20" t="array">PO.ECON.IRR.Monthly(MODEL.CashFlow(ScenarioTable[[#This Row],[Oil $/bbl]],ScenarioTable[[#This Row],[Gas $/MMBtu]],ScenarioTable[[#This Row],[D&amp;C $MM/well]],ScenarioTable[[#This Row],[LOE $/well-month]],ScenarioTable[[#This Row],[Type curve factor]],ScenarioTable[[#This Row],[Wells]],ScenarioTable[[#This Row],[WI]],ScenarioTable[[#This Row],[NRI]]))</f>
        <v>1.124556157282652</v>
      </c>
      <c r="N20" s="16" cm="1">
        <f ref="N20:N20" t="array">PO.ECON.Payout(MODEL.CashFlow(ScenarioTable[[#This Row],[Oil $/bbl]],ScenarioTable[[#This Row],[Gas $/MMBtu]],ScenarioTable[[#This Row],[D&amp;C $MM/well]],ScenarioTable[[#This Row],[LOE $/well-month]],ScenarioTable[[#This Row],[Type curve factor]],ScenarioTable[[#This Row],[Wells]],ScenarioTable[[#This Row],[WI]],ScenarioTable[[#This Row],[NRI]]))</f>
        <v>17</v>
      </c>
      <c r="O20" s="24" cm="1">
        <f ref="O20:O20" t="array">ScenarioTable[[#This Row],[NPV $MM]]*1000000/PO.ECON.NPV.Monthly(MODEL.Capex(ScenarioTable[[#This Row],[D&amp;C $MM/well]],ScenarioTable[[#This Row],[Wells]],ScenarioTable[[#This Row],[WI]]),ScenarioTable[[#This Row],[Discount rate]])</f>
        <v>1.4217582613906903</v>
      </c>
      <c r="P20" s="25" cm="1">
        <f ref="P20:P20" t="array">MODEL.EUR(ScenarioTable[[#This Row],[Oil $/bbl]],ScenarioTable[[#This Row],[Gas $/MMBtu]],ScenarioTable[[#This Row],[LOE $/well-month]],ScenarioTable[[#This Row],[Type curve factor]],ScenarioTable[[#This Row],[WI]],ScenarioTable[[#This Row],[NRI]])/1000</f>
        <v>611.9440899929</v>
      </c>
      <c r="Q20" s="22" cm="1">
        <f ref="Q20:Q20" t="array">SUM(MODEL.CashFlow(ScenarioTable[[#This Row],[Oil $/bbl]],ScenarioTable[[#This Row],[Gas $/MMBtu]],ScenarioTable[[#This Row],[D&amp;C $MM/well]],ScenarioTable[[#This Row],[LOE $/well-month]],ScenarioTable[[#This Row],[Type curve factor]],ScenarioTable[[#This Row],[Wells]],ScenarioTable[[#This Row],[WI]],ScenarioTable[[#This Row],[NRI]]))/1000000</f>
        <v>56.02859973406156</v>
      </c>
    </row>
  </sheetData>
  <mergeCells>
    <mergeCell ref="A3:Q3"/>
  </mergeCells>
  <conditionalFormatting sqref="L6:L20">
    <cfRule type="expression" dxfId="0" priority="1">
      <formula>L6&lt;0</formula>
    </cfRule>
  </conditionalFormatting>
  <conditionalFormatting sqref="M6:M20">
    <cfRule type="expression" dxfId="1" priority="2">
      <formula>OR(NOT(ISNUMBER(M6)),M6&lt;EC_Hurdle)</formula>
    </cfRule>
  </conditionalFormatting>
  <dataValidations count="4">
    <dataValidation type="whole" operator="greaterThanOrEqual" showErrorMessage="1" error="Enter 0 for the base case or a Case number from the Table." sqref="C2" xr:uid="{00000000-0000-4000-8000-000000000001}">
      <formula1>0</formula1>
    </dataValidation>
    <dataValidation type="whole" showErrorMessage="1" error="Wells: 1 to 10." sqref="H6:H20" xr:uid="{00000000-0000-4000-8000-000000000002}">
      <formula1>1</formula1>
      <formula2>10</formula2>
    </dataValidation>
    <dataValidation type="decimal" showErrorMessage="1" error="Working interest is a fraction above 0 and at most 1." sqref="I6:I20" xr:uid="{00000000-0000-4000-8000-000000000003}">
      <formula1>0.001</formula1>
      <formula2>1</formula2>
    </dataValidation>
    <dataValidation type="decimal" showErrorMessage="1" error="Net revenue interest is a fraction from 0 to 1." sqref="J6:J20" xr:uid="{00000000-0000-4000-8000-000000000004}">
      <formula1>0</formula1>
      <formula2>1</formula2>
    </dataValidation>
  </dataValidations>
  <pageSetup orientation="landscape" fitToWidth="1" fitToHeight="1"/>
  <headerFooter/>
  <drawing r:id="rId1"/>
  <tableParts>
    <tablePart r:id="rId2"/>
  </tableParts>
</worksheet>
</file>

<file path=xl/worksheets/sheet4.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L53"/>
  <sheetViews>
    <sheetView workbookViewId="0" showGridLines="0"/>
  </sheetViews>
  <sheetFormatPr defaultRowHeight="15"/>
  <cols>
    <col min="1" max="1" width="7" customWidth="1"/>
    <col min="2" max="2" width="11"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s>
  <sheetData>
    <row r="1">
      <c r="A1" s="14" t="str">
        <f>"Cash flow — "&amp;IF(EC_Pick=0,"base case",IF(CF_Row&lt;0,"case "&amp;EC_Pick&amp;" is not in the Table, so the base case is shown",INDEX(ScenarioTable[Scenario],CF_Row)))</f>
        <v>Cash flow — base case</v>
      </c>
    </row>
    <row r="2">
      <c r="A2" s="9" t="s">
        <v>119</v>
      </c>
    </row>
    <row r="4">
      <c r="A4" s="7" t="s">
        <v>120</v>
      </c>
      <c r="B4" s="7"/>
      <c r="C4" s="7"/>
      <c r="D4" s="7"/>
      <c r="E4" s="7"/>
      <c r="G4" s="7" t="s">
        <v>121</v>
      </c>
      <c r="H4" s="7"/>
      <c r="I4" s="7"/>
      <c r="J4" s="7"/>
      <c r="K4" s="7"/>
      <c r="L4" s="7"/>
    </row>
    <row r="5">
      <c r="A5" s="0" t="s">
        <v>122</v>
      </c>
      <c r="D5" s="26">
        <f>IF(EC_Pick=0,0,IFERROR(MATCH(EC_Pick,ScenarioTable[Case],0),-1))</f>
        <v>0</v>
      </c>
      <c r="G5" s="0" t="s">
        <v>123</v>
      </c>
      <c r="J5" s="31" cm="1">
        <f ref="J5:J5" t="array">PO.ECON.NPV.Monthly(MODEL.CashFlow(CF_Oil,CF_Gas,CF_DC,CF_LOE,CF_TC,CF_Wells,CF_WI,CF_NRI),CF_Disc)/1000000</f>
        <v>76.22791733931075</v>
      </c>
      <c r="K5" s="0" t="s">
        <v>70</v>
      </c>
    </row>
    <row r="6">
      <c r="A6" s="0" t="s">
        <v>124</v>
      </c>
      <c r="D6" s="27">
        <f>IF(CF_Row&lt;=0,EC_Oil,INDEX(ScenarioTable[Oil $/bbl],CF_Row))</f>
        <v>70</v>
      </c>
      <c r="E6" s="0" t="s">
        <v>45</v>
      </c>
      <c r="G6" s="0" t="s">
        <v>99</v>
      </c>
      <c r="J6" s="32" cm="1">
        <f ref="J6:J6" t="array">PO.ECON.IRR.Monthly(MODEL.CashFlow(CF_Oil,CF_Gas,CF_DC,CF_LOE,CF_TC,CF_Wells,CF_WI,CF_NRI))</f>
        <v>1.124556157282652</v>
      </c>
      <c r="K6" s="0" t="s">
        <v>34</v>
      </c>
    </row>
    <row r="7">
      <c r="A7" s="0" t="s">
        <v>125</v>
      </c>
      <c r="D7" s="27">
        <f>IF(CF_Row&lt;=0,EC_Gas,INDEX(ScenarioTable[Gas $/MMBtu],CF_Row))</f>
        <v>3</v>
      </c>
      <c r="E7" s="0" t="s">
        <v>49</v>
      </c>
      <c r="G7" s="0" t="s">
        <v>126</v>
      </c>
      <c r="J7" s="33" cm="1">
        <f ref="J7:J7" t="array">PO.ECON.Payout(MODEL.CashFlow(CF_Oil,CF_Gas,CF_DC,CF_LOE,CF_TC,CF_Wells,CF_WI,CF_NRI))</f>
        <v>17</v>
      </c>
      <c r="K7" s="0" t="s">
        <v>24</v>
      </c>
    </row>
    <row r="8">
      <c r="A8" s="0" t="s">
        <v>127</v>
      </c>
      <c r="D8" s="27">
        <f>IF(CF_Row&lt;=0,EC_DC,INDEX(ScenarioTable[D&amp;C $MM/well],CF_Row))</f>
        <v>7</v>
      </c>
      <c r="E8" s="0" t="s">
        <v>70</v>
      </c>
      <c r="G8" s="0" t="s">
        <v>101</v>
      </c>
      <c r="J8" s="34" cm="1">
        <f ref="J8:J8" t="array">CF_NPV/(PO.ECON.NPV.Monthly(MODEL.Capex(CF_DC,CF_Wells,CF_WI),CF_Disc)/1000000)</f>
        <v>1.4217582613906914</v>
      </c>
      <c r="K8" s="0" t="s">
        <v>128</v>
      </c>
    </row>
    <row r="9">
      <c r="A9" s="0" t="s">
        <v>72</v>
      </c>
      <c r="D9" s="28">
        <f>IF(CF_Row&lt;=0,EC_LOE,INDEX(ScenarioTable[LOE $/well-month],CF_Row))</f>
        <v>8000</v>
      </c>
      <c r="E9" s="0" t="s">
        <v>73</v>
      </c>
      <c r="G9" s="0" t="s">
        <v>129</v>
      </c>
      <c r="J9" s="35" cm="1">
        <f ref="J9:J9" t="array">MODEL.EUR(CF_Oil,CF_Gas,CF_LOE,CF_TC,CF_WI,CF_NRI)/1000</f>
        <v>611.9440899929</v>
      </c>
      <c r="K9" s="0" t="s">
        <v>130</v>
      </c>
    </row>
    <row r="10">
      <c r="A10" s="0" t="s">
        <v>40</v>
      </c>
      <c r="D10" s="27">
        <f>IF(CF_Row&lt;=0,EC_TC,INDEX(ScenarioTable[Type curve factor],CF_Row))</f>
        <v>1</v>
      </c>
      <c r="E10" s="0" t="s">
        <v>41</v>
      </c>
      <c r="G10" s="0" t="s">
        <v>131</v>
      </c>
      <c r="J10" s="31" cm="1">
        <f ref="J10:J10" t="array">SUM(MODEL.CashFlow(CF_Oil,CF_Gas,CF_DC,CF_LOE,CF_TC,CF_Wells,CF_WI,CF_NRI))/1000000</f>
        <v>140.07149933515387</v>
      </c>
      <c r="K10" s="0" t="s">
        <v>132</v>
      </c>
    </row>
    <row r="11">
      <c r="A11" s="0" t="s">
        <v>17</v>
      </c>
      <c r="D11" s="26">
        <f>IF(CF_Row&lt;=0,EC_Wells,INDEX(ScenarioTable[Wells],CF_Row))</f>
        <v>8</v>
      </c>
      <c r="E11" s="0" t="s">
        <v>18</v>
      </c>
      <c r="G11" s="0" t="s">
        <v>133</v>
      </c>
      <c r="J11" s="33" cm="1">
        <f ref="J11:J11" t="array">MODEL.Life(EC_IP*CF_TC,CF_Oil,CF_Gas,CF_LOE,CF_WI,CF_NRI)</f>
        <v>360</v>
      </c>
      <c r="K11" s="0" t="s">
        <v>24</v>
      </c>
    </row>
    <row r="12">
      <c r="A12" s="0" t="s">
        <v>56</v>
      </c>
      <c r="D12" s="29">
        <f>IF(CF_Row&lt;=0,EC_WI,INDEX(ScenarioTable[WI],CF_Row))</f>
        <v>1</v>
      </c>
      <c r="G12" s="0" t="s">
        <v>134</v>
      </c>
      <c r="J12" s="0" t="str">
        <f>IF(EC_FirstOnline+(CF_Wells-1)*EC_Spacing+EC_LifeCap+1&lt;=12*35,"every well's life fits","a long program: later years are not shown")</f>
        <v>every well's life fits</v>
      </c>
    </row>
    <row r="13">
      <c r="A13" s="0" t="s">
        <v>58</v>
      </c>
      <c r="D13" s="29">
        <f>IF(CF_Row&lt;=0,EC_NRI,INDEX(ScenarioTable[NRI],CF_Row))</f>
        <v>0.75</v>
      </c>
      <c r="G13" s="0" t="s">
        <v>135</v>
      </c>
      <c r="J13" s="36">
        <f>SUM(K18:K52)-CF_NPV</f>
        <v>7.105427357601002E-14</v>
      </c>
    </row>
    <row r="14">
      <c r="A14" s="0" t="s">
        <v>81</v>
      </c>
      <c r="D14" s="29">
        <f>IF(CF_Row&lt;=0,EC_Disc,INDEX(ScenarioTable[Discount rate],CF_Row))</f>
        <v>0.1</v>
      </c>
      <c r="E14" s="0" t="s">
        <v>34</v>
      </c>
      <c r="G14" s="0" t="s">
        <v>136</v>
      </c>
      <c r="J14" s="36">
        <f>SUM(J18:J52)-CF_NetCash</f>
        <v>-2.842170943040401E-14</v>
      </c>
    </row>
    <row r="17" ht="48" customHeight="1">
      <c r="A17" s="37" t="s">
        <v>137</v>
      </c>
      <c r="B17" s="37" t="s">
        <v>138</v>
      </c>
      <c r="C17" s="37" t="s">
        <v>139</v>
      </c>
      <c r="D17" s="37" t="s">
        <v>140</v>
      </c>
      <c r="E17" s="37" t="s">
        <v>141</v>
      </c>
      <c r="F17" s="37" t="s">
        <v>142</v>
      </c>
      <c r="G17" s="37" t="s">
        <v>143</v>
      </c>
      <c r="H17" s="37" t="s">
        <v>144</v>
      </c>
      <c r="I17" s="37" t="s">
        <v>145</v>
      </c>
      <c r="J17" s="37" t="s">
        <v>146</v>
      </c>
      <c r="K17" s="37" t="s">
        <v>147</v>
      </c>
      <c r="L17" s="37" t="s">
        <v>148</v>
      </c>
    </row>
    <row r="18">
      <c r="A18" s="16">
        <f ref="A18:K52" t="array">MODEL.Annual(CF_Oil,CF_Gas,CF_DC,CF_LOE,CF_TC,CF_Wells,CF_WI,CF_NRI,CF_Disc,35)</f>
        <v>1</v>
      </c>
      <c r="B18" s="39">
        <v>4.333333333333333</v>
      </c>
      <c r="C18" s="25">
        <v>855.0702932556038</v>
      </c>
      <c r="D18" s="25">
        <v>1282.6054398834058</v>
      </c>
      <c r="E18" s="22">
        <v>45.853144475831755</v>
      </c>
      <c r="F18" s="22">
        <v>3.311366594418983</v>
      </c>
      <c r="G18" s="22">
        <v>4.477583892964119</v>
      </c>
      <c r="H18" s="22">
        <v>56</v>
      </c>
      <c r="I18" s="22">
        <v>0</v>
      </c>
      <c r="J18" s="30">
        <v>-17.93580601155136</v>
      </c>
      <c r="K18" s="30">
        <v>-18.027818239447836</v>
      </c>
      <c r="L18" s="30">
        <f>J18</f>
        <v>-17.93580601155136</v>
      </c>
    </row>
    <row r="19">
      <c r="A19" s="16">
        <v>2</v>
      </c>
      <c r="B19" s="39">
        <v>8</v>
      </c>
      <c r="C19" s="25">
        <v>839.5264813938184</v>
      </c>
      <c r="D19" s="25">
        <v>1259.2897220907278</v>
      </c>
      <c r="E19" s="22">
        <v>45.019607564743524</v>
      </c>
      <c r="F19" s="22">
        <v>3.2511712400077366</v>
      </c>
      <c r="G19" s="22">
        <v>4.755750786620638</v>
      </c>
      <c r="H19" s="22">
        <v>0</v>
      </c>
      <c r="I19" s="22">
        <v>0</v>
      </c>
      <c r="J19" s="30">
        <v>37.012685538115136</v>
      </c>
      <c r="K19" s="30">
        <v>32.140378772804674</v>
      </c>
      <c r="L19" s="30">
        <f>L18+J19</f>
        <v>19.076879526563776</v>
      </c>
    </row>
    <row r="20">
      <c r="A20" s="16">
        <v>3</v>
      </c>
      <c r="B20" s="39">
        <v>8</v>
      </c>
      <c r="C20" s="25">
        <v>496.96367432056303</v>
      </c>
      <c r="D20" s="25">
        <v>745.4455114808445</v>
      </c>
      <c r="E20" s="22">
        <v>26.64967703544019</v>
      </c>
      <c r="F20" s="22">
        <v>1.9245539492656705</v>
      </c>
      <c r="G20" s="22">
        <v>3.1285774530226744</v>
      </c>
      <c r="H20" s="22">
        <v>0</v>
      </c>
      <c r="I20" s="22">
        <v>0</v>
      </c>
      <c r="J20" s="30">
        <v>21.596545633151848</v>
      </c>
      <c r="K20" s="30">
        <v>17.011594411715528</v>
      </c>
      <c r="L20" s="30">
        <f>L19+J20</f>
        <v>40.67342515971562</v>
      </c>
    </row>
    <row r="21">
      <c r="A21" s="16">
        <v>4</v>
      </c>
      <c r="B21" s="39">
        <v>8</v>
      </c>
      <c r="C21" s="25">
        <v>354.92371357912725</v>
      </c>
      <c r="D21" s="25">
        <v>532.3855703686909</v>
      </c>
      <c r="E21" s="22">
        <v>19.032784140680697</v>
      </c>
      <c r="F21" s="22">
        <v>1.3744864462993676</v>
      </c>
      <c r="G21" s="22">
        <v>2.4538876395008544</v>
      </c>
      <c r="H21" s="22">
        <v>0</v>
      </c>
      <c r="I21" s="22">
        <v>0</v>
      </c>
      <c r="J21" s="30">
        <v>15.204410054880478</v>
      </c>
      <c r="K21" s="30">
        <v>10.878009657728535</v>
      </c>
      <c r="L21" s="30">
        <f>L20+J21</f>
        <v>55.8778352145961</v>
      </c>
    </row>
    <row r="22">
      <c r="A22" s="16">
        <v>5</v>
      </c>
      <c r="B22" s="39">
        <v>8</v>
      </c>
      <c r="C22" s="25">
        <v>276.4018337348916</v>
      </c>
      <c r="D22" s="25">
        <v>414.60275060233744</v>
      </c>
      <c r="E22" s="22">
        <v>14.822048334033562</v>
      </c>
      <c r="F22" s="22">
        <v>1.070400651367585</v>
      </c>
      <c r="G22" s="22">
        <v>2.080908710240735</v>
      </c>
      <c r="H22" s="22">
        <v>0</v>
      </c>
      <c r="I22" s="22">
        <v>0</v>
      </c>
      <c r="J22" s="30">
        <v>11.670738972425243</v>
      </c>
      <c r="K22" s="30">
        <v>7.5870317970812176</v>
      </c>
      <c r="L22" s="30">
        <f>L21+J22</f>
        <v>67.54857418702134</v>
      </c>
    </row>
    <row r="23">
      <c r="A23" s="16">
        <v>6</v>
      </c>
      <c r="B23" s="39">
        <v>8</v>
      </c>
      <c r="C23" s="25">
        <v>226.44096656538133</v>
      </c>
      <c r="D23" s="25">
        <v>339.661449848072</v>
      </c>
      <c r="E23" s="22">
        <v>12.142896832068574</v>
      </c>
      <c r="F23" s="22">
        <v>0.87692094814526</v>
      </c>
      <c r="G23" s="22">
        <v>1.8435945911855613</v>
      </c>
      <c r="H23" s="22">
        <v>0</v>
      </c>
      <c r="I23" s="22">
        <v>0</v>
      </c>
      <c r="J23" s="30">
        <v>9.422381292737752</v>
      </c>
      <c r="K23" s="30">
        <v>5.566805656560251</v>
      </c>
      <c r="L23" s="30">
        <f>L22+J23</f>
        <v>76.9709554797591</v>
      </c>
    </row>
    <row r="24">
      <c r="A24" s="16">
        <v>7</v>
      </c>
      <c r="B24" s="39">
        <v>8</v>
      </c>
      <c r="C24" s="25">
        <v>191.81927384586217</v>
      </c>
      <c r="D24" s="25">
        <v>287.72891076879324</v>
      </c>
      <c r="E24" s="22">
        <v>10.286308559984356</v>
      </c>
      <c r="F24" s="22">
        <v>0.742844115377332</v>
      </c>
      <c r="G24" s="22">
        <v>1.679141550767845</v>
      </c>
      <c r="H24" s="22">
        <v>0</v>
      </c>
      <c r="I24" s="22">
        <v>0</v>
      </c>
      <c r="J24" s="30">
        <v>7.864322893839179</v>
      </c>
      <c r="K24" s="30">
        <v>4.222993957483863</v>
      </c>
      <c r="L24" s="30">
        <f>L23+J24</f>
        <v>84.83527837359827</v>
      </c>
    </row>
    <row r="25">
      <c r="A25" s="16">
        <v>8</v>
      </c>
      <c r="B25" s="39">
        <v>8</v>
      </c>
      <c r="C25" s="25">
        <v>166.39979162395858</v>
      </c>
      <c r="D25" s="25">
        <v>249.59968743593782</v>
      </c>
      <c r="E25" s="22">
        <v>8.923188825834778</v>
      </c>
      <c r="F25" s="22">
        <v>0.6444039930377325</v>
      </c>
      <c r="G25" s="22">
        <v>1.5583990102138032</v>
      </c>
      <c r="H25" s="22">
        <v>0</v>
      </c>
      <c r="I25" s="22">
        <v>0</v>
      </c>
      <c r="J25" s="30">
        <v>6.720385822583241</v>
      </c>
      <c r="K25" s="30">
        <v>3.2801385550945263</v>
      </c>
      <c r="L25" s="30">
        <f>L24+J25</f>
        <v>91.55566419618151</v>
      </c>
    </row>
    <row r="26">
      <c r="A26" s="16">
        <v>9</v>
      </c>
      <c r="B26" s="39">
        <v>8</v>
      </c>
      <c r="C26" s="25">
        <v>146.93878110545498</v>
      </c>
      <c r="D26" s="25">
        <v>220.40817165818243</v>
      </c>
      <c r="E26" s="22">
        <v>7.879592136780024</v>
      </c>
      <c r="F26" s="22">
        <v>0.5690387971785126</v>
      </c>
      <c r="G26" s="22">
        <v>1.4659592102509114</v>
      </c>
      <c r="H26" s="22">
        <v>0</v>
      </c>
      <c r="I26" s="22">
        <v>0</v>
      </c>
      <c r="J26" s="30">
        <v>5.844594129350599</v>
      </c>
      <c r="K26" s="30">
        <v>2.593029524889873</v>
      </c>
      <c r="L26" s="30">
        <f>L25+J26</f>
        <v>97.4002583255321</v>
      </c>
    </row>
    <row r="27">
      <c r="A27" s="16">
        <v>10</v>
      </c>
      <c r="B27" s="39">
        <v>8</v>
      </c>
      <c r="C27" s="25">
        <v>131.55852608272352</v>
      </c>
      <c r="D27" s="25">
        <v>197.3377891240853</v>
      </c>
      <c r="E27" s="22">
        <v>7.05482596118605</v>
      </c>
      <c r="F27" s="22">
        <v>0.5094768370711072</v>
      </c>
      <c r="G27" s="22">
        <v>1.3929029988929367</v>
      </c>
      <c r="H27" s="22">
        <v>0</v>
      </c>
      <c r="I27" s="22">
        <v>0</v>
      </c>
      <c r="J27" s="30">
        <v>5.1524461252220055</v>
      </c>
      <c r="K27" s="30">
        <v>2.077939163033218</v>
      </c>
      <c r="L27" s="30">
        <f>L26+J27</f>
        <v>102.5527044507541</v>
      </c>
    </row>
    <row r="28">
      <c r="A28" s="16">
        <v>11</v>
      </c>
      <c r="B28" s="39">
        <v>8</v>
      </c>
      <c r="C28" s="25">
        <v>119.09605045078004</v>
      </c>
      <c r="D28" s="25">
        <v>178.64407567617013</v>
      </c>
      <c r="E28" s="22">
        <v>6.386525705423081</v>
      </c>
      <c r="F28" s="22">
        <v>0.4612143423769521</v>
      </c>
      <c r="G28" s="22">
        <v>1.333706239641205</v>
      </c>
      <c r="H28" s="22">
        <v>0</v>
      </c>
      <c r="I28" s="22">
        <v>0</v>
      </c>
      <c r="J28" s="30">
        <v>4.591605123404924</v>
      </c>
      <c r="K28" s="30">
        <v>1.6832868788210125</v>
      </c>
      <c r="L28" s="30">
        <f>L27+J28</f>
        <v>107.14430957415902</v>
      </c>
    </row>
    <row r="29">
      <c r="A29" s="16">
        <v>12</v>
      </c>
      <c r="B29" s="39">
        <v>8</v>
      </c>
      <c r="C29" s="25">
        <v>108.79099334375316</v>
      </c>
      <c r="D29" s="25">
        <v>163.18649001562972</v>
      </c>
      <c r="E29" s="22">
        <v>5.833917018058763</v>
      </c>
      <c r="F29" s="22">
        <v>0.4213067205978521</v>
      </c>
      <c r="G29" s="22">
        <v>1.2847572183828275</v>
      </c>
      <c r="H29" s="22">
        <v>0</v>
      </c>
      <c r="I29" s="22">
        <v>0</v>
      </c>
      <c r="J29" s="30">
        <v>4.127853079078084</v>
      </c>
      <c r="K29" s="30">
        <v>1.3756191996757645</v>
      </c>
      <c r="L29" s="30">
        <f>L28+J29</f>
        <v>111.2721626532371</v>
      </c>
    </row>
    <row r="30">
      <c r="A30" s="16">
        <v>13</v>
      </c>
      <c r="B30" s="39">
        <v>8</v>
      </c>
      <c r="C30" s="25">
        <v>99.98077371195384</v>
      </c>
      <c r="D30" s="25">
        <v>149.97116056793075</v>
      </c>
      <c r="E30" s="22">
        <v>5.361468990303524</v>
      </c>
      <c r="F30" s="22">
        <v>0.38718804379625527</v>
      </c>
      <c r="G30" s="22">
        <v>1.2429086751317806</v>
      </c>
      <c r="H30" s="22">
        <v>0</v>
      </c>
      <c r="I30" s="22">
        <v>0</v>
      </c>
      <c r="J30" s="30">
        <v>3.731372271375488</v>
      </c>
      <c r="K30" s="30">
        <v>1.130427726487769</v>
      </c>
      <c r="L30" s="30">
        <f>L29+J30</f>
        <v>115.0035349246126</v>
      </c>
    </row>
    <row r="31">
      <c r="A31" s="16">
        <v>14</v>
      </c>
      <c r="B31" s="39">
        <v>8</v>
      </c>
      <c r="C31" s="25">
        <v>91.98217207960292</v>
      </c>
      <c r="D31" s="25">
        <v>137.97325811940436</v>
      </c>
      <c r="E31" s="22">
        <v>4.932543977768708</v>
      </c>
      <c r="F31" s="22">
        <v>0.3562124591497723</v>
      </c>
      <c r="G31" s="22">
        <v>1.204915317378114</v>
      </c>
      <c r="H31" s="22">
        <v>0</v>
      </c>
      <c r="I31" s="22">
        <v>0</v>
      </c>
      <c r="J31" s="30">
        <v>3.3714162012408204</v>
      </c>
      <c r="K31" s="30">
        <v>0.9285389851333052</v>
      </c>
      <c r="L31" s="30">
        <f>L30+J31</f>
        <v>118.37495112585341</v>
      </c>
    </row>
    <row r="32">
      <c r="A32" s="16">
        <v>15</v>
      </c>
      <c r="B32" s="39">
        <v>8</v>
      </c>
      <c r="C32" s="25">
        <v>84.62359831323468</v>
      </c>
      <c r="D32" s="25">
        <v>126.93539746985203</v>
      </c>
      <c r="E32" s="22">
        <v>4.53794045954721</v>
      </c>
      <c r="F32" s="22">
        <v>0.3277154624177905</v>
      </c>
      <c r="G32" s="22">
        <v>1.1699620919878646</v>
      </c>
      <c r="H32" s="22">
        <v>0</v>
      </c>
      <c r="I32" s="22">
        <v>0</v>
      </c>
      <c r="J32" s="30">
        <v>3.0402629051415544</v>
      </c>
      <c r="K32" s="30">
        <v>0.7612254657413215</v>
      </c>
      <c r="L32" s="30">
        <f>L31+J32</f>
        <v>121.41521403099497</v>
      </c>
    </row>
    <row r="33">
      <c r="A33" s="16">
        <v>16</v>
      </c>
      <c r="B33" s="39">
        <v>8</v>
      </c>
      <c r="C33" s="25">
        <v>77.8537104481759</v>
      </c>
      <c r="D33" s="25">
        <v>116.78056567226386</v>
      </c>
      <c r="E33" s="22">
        <v>4.174905222783433</v>
      </c>
      <c r="F33" s="22">
        <v>0.3014982254243672</v>
      </c>
      <c r="G33" s="22">
        <v>1.1378051246288354</v>
      </c>
      <c r="H33" s="22">
        <v>0</v>
      </c>
      <c r="I33" s="22">
        <v>0</v>
      </c>
      <c r="J33" s="30">
        <v>2.7356018727302307</v>
      </c>
      <c r="K33" s="30">
        <v>0.6226878655562234</v>
      </c>
      <c r="L33" s="30">
        <f>L32+J33</f>
        <v>124.1508159037252</v>
      </c>
    </row>
    <row r="34">
      <c r="A34" s="16">
        <v>17</v>
      </c>
      <c r="B34" s="39">
        <v>8</v>
      </c>
      <c r="C34" s="25">
        <v>71.62541361232184</v>
      </c>
      <c r="D34" s="25">
        <v>107.43812041848277</v>
      </c>
      <c r="E34" s="22">
        <v>3.840912804960759</v>
      </c>
      <c r="F34" s="22">
        <v>0.2773783673904179</v>
      </c>
      <c r="G34" s="22">
        <v>1.1082207146585286</v>
      </c>
      <c r="H34" s="22">
        <v>0</v>
      </c>
      <c r="I34" s="22">
        <v>0</v>
      </c>
      <c r="J34" s="30">
        <v>2.455313722911812</v>
      </c>
      <c r="K34" s="30">
        <v>0.5080903665890313</v>
      </c>
      <c r="L34" s="30">
        <f>L33+J34</f>
        <v>126.60612962663701</v>
      </c>
    </row>
    <row r="35">
      <c r="A35" s="16">
        <v>18</v>
      </c>
      <c r="B35" s="39">
        <v>8</v>
      </c>
      <c r="C35" s="25">
        <v>65.89538052333612</v>
      </c>
      <c r="D35" s="25">
        <v>98.84307078500417</v>
      </c>
      <c r="E35" s="22">
        <v>3.533639780563898</v>
      </c>
      <c r="F35" s="22">
        <v>0.25518809799918446</v>
      </c>
      <c r="G35" s="22">
        <v>1.0810030574858465</v>
      </c>
      <c r="H35" s="22">
        <v>0</v>
      </c>
      <c r="I35" s="22">
        <v>0</v>
      </c>
      <c r="J35" s="30">
        <v>2.1974486250788674</v>
      </c>
      <c r="K35" s="30">
        <v>0.4134000148134783</v>
      </c>
      <c r="L35" s="30">
        <f>L34+J35</f>
        <v>128.8035782517159</v>
      </c>
    </row>
    <row r="36">
      <c r="A36" s="16">
        <v>19</v>
      </c>
      <c r="B36" s="39">
        <v>8</v>
      </c>
      <c r="C36" s="25">
        <v>60.62375008146922</v>
      </c>
      <c r="D36" s="25">
        <v>90.93562512220382</v>
      </c>
      <c r="E36" s="22">
        <v>3.2509485981187867</v>
      </c>
      <c r="F36" s="22">
        <v>0.2347730501592497</v>
      </c>
      <c r="G36" s="22">
        <v>1.055962812886979</v>
      </c>
      <c r="H36" s="22">
        <v>0</v>
      </c>
      <c r="I36" s="22">
        <v>0</v>
      </c>
      <c r="J36" s="30">
        <v>1.9602127350725582</v>
      </c>
      <c r="K36" s="30">
        <v>0.3352542925819481</v>
      </c>
      <c r="L36" s="30">
        <f>L35+J36</f>
        <v>130.76379098678845</v>
      </c>
    </row>
    <row r="37">
      <c r="A37" s="16">
        <v>20</v>
      </c>
      <c r="B37" s="39">
        <v>8</v>
      </c>
      <c r="C37" s="25">
        <v>55.77385007495168</v>
      </c>
      <c r="D37" s="25">
        <v>83.66077511242752</v>
      </c>
      <c r="E37" s="22">
        <v>2.990872710269284</v>
      </c>
      <c r="F37" s="22">
        <v>0.21599120614650974</v>
      </c>
      <c r="G37" s="22">
        <v>1.0329257878560207</v>
      </c>
      <c r="H37" s="22">
        <v>0</v>
      </c>
      <c r="I37" s="22">
        <v>0</v>
      </c>
      <c r="J37" s="30">
        <v>1.7419557162667534</v>
      </c>
      <c r="K37" s="30">
        <v>0.2708504564501442</v>
      </c>
      <c r="L37" s="30">
        <f>L36+J37</f>
        <v>132.5057467030552</v>
      </c>
    </row>
    <row r="38">
      <c r="A38" s="16">
        <v>21</v>
      </c>
      <c r="B38" s="39">
        <v>8</v>
      </c>
      <c r="C38" s="25">
        <v>51.31194206895555</v>
      </c>
      <c r="D38" s="25">
        <v>76.96791310343332</v>
      </c>
      <c r="E38" s="22">
        <v>2.7516028934477412</v>
      </c>
      <c r="F38" s="22">
        <v>0.198711909654789</v>
      </c>
      <c r="G38" s="22">
        <v>1.011731724827539</v>
      </c>
      <c r="H38" s="22">
        <v>0</v>
      </c>
      <c r="I38" s="22">
        <v>0</v>
      </c>
      <c r="J38" s="30">
        <v>1.5411592589654133</v>
      </c>
      <c r="K38" s="30">
        <v>0.21785307012174565</v>
      </c>
      <c r="L38" s="30">
        <f>L37+J38</f>
        <v>134.04690596202062</v>
      </c>
    </row>
    <row r="39">
      <c r="A39" s="16">
        <v>22</v>
      </c>
      <c r="B39" s="39">
        <v>8</v>
      </c>
      <c r="C39" s="25">
        <v>47.20698670343909</v>
      </c>
      <c r="D39" s="25">
        <v>70.81048005515866</v>
      </c>
      <c r="E39" s="22">
        <v>2.531474661971922</v>
      </c>
      <c r="F39" s="22">
        <v>0.18281495688240582</v>
      </c>
      <c r="G39" s="22">
        <v>0.9922331868413358</v>
      </c>
      <c r="H39" s="22">
        <v>0</v>
      </c>
      <c r="I39" s="22">
        <v>0</v>
      </c>
      <c r="J39" s="30">
        <v>1.3564265182481803</v>
      </c>
      <c r="K39" s="30">
        <v>0.17431674724214397</v>
      </c>
      <c r="L39" s="30">
        <f>L38+J39</f>
        <v>135.4033324802688</v>
      </c>
    </row>
    <row r="40">
      <c r="A40" s="16">
        <v>23</v>
      </c>
      <c r="B40" s="39">
        <v>8</v>
      </c>
      <c r="C40" s="25">
        <v>43.430427767163984</v>
      </c>
      <c r="D40" s="25">
        <v>65.14564165074597</v>
      </c>
      <c r="E40" s="22">
        <v>2.3289566890141686</v>
      </c>
      <c r="F40" s="22">
        <v>0.1681897603318134</v>
      </c>
      <c r="G40" s="22">
        <v>0.9742945318940288</v>
      </c>
      <c r="H40" s="22">
        <v>0</v>
      </c>
      <c r="I40" s="22">
        <v>0</v>
      </c>
      <c r="J40" s="30">
        <v>1.1864723967883262</v>
      </c>
      <c r="K40" s="30">
        <v>0.13862160798628273</v>
      </c>
      <c r="L40" s="30">
        <f>L39+J40</f>
        <v>136.58980487705713</v>
      </c>
    </row>
    <row r="41">
      <c r="A41" s="16">
        <v>24</v>
      </c>
      <c r="B41" s="39">
        <v>8</v>
      </c>
      <c r="C41" s="25">
        <v>39.955993545790854</v>
      </c>
      <c r="D41" s="25">
        <v>59.933990318686305</v>
      </c>
      <c r="E41" s="22">
        <v>2.142640153893035</v>
      </c>
      <c r="F41" s="22">
        <v>0.15473457950526834</v>
      </c>
      <c r="G41" s="22">
        <v>0.9577909693425066</v>
      </c>
      <c r="H41" s="22">
        <v>0</v>
      </c>
      <c r="I41" s="22">
        <v>0</v>
      </c>
      <c r="J41" s="30">
        <v>1.03011460504526</v>
      </c>
      <c r="K41" s="30">
        <v>0.1094193624828567</v>
      </c>
      <c r="L41" s="30">
        <f>L40+J41</f>
        <v>137.6199194821024</v>
      </c>
    </row>
    <row r="42">
      <c r="A42" s="16">
        <v>25</v>
      </c>
      <c r="B42" s="39">
        <v>8</v>
      </c>
      <c r="C42" s="25">
        <v>36.759514062127586</v>
      </c>
      <c r="D42" s="25">
        <v>55.13927109319139</v>
      </c>
      <c r="E42" s="22">
        <v>1.9712289415815925</v>
      </c>
      <c r="F42" s="22">
        <v>0.14235581314484688</v>
      </c>
      <c r="G42" s="22">
        <v>0.9426076917951061</v>
      </c>
      <c r="H42" s="22">
        <v>0</v>
      </c>
      <c r="I42" s="22">
        <v>0</v>
      </c>
      <c r="J42" s="30">
        <v>0.8862654366416393</v>
      </c>
      <c r="K42" s="30">
        <v>0.08558827621191177</v>
      </c>
      <c r="L42" s="30">
        <f>L41+J42</f>
        <v>138.50618491874405</v>
      </c>
    </row>
    <row r="43">
      <c r="A43" s="16">
        <v>26</v>
      </c>
      <c r="B43" s="39">
        <v>8</v>
      </c>
      <c r="C43" s="25">
        <v>33.81875293715739</v>
      </c>
      <c r="D43" s="25">
        <v>50.728129405736084</v>
      </c>
      <c r="E43" s="22">
        <v>1.8135306262550652</v>
      </c>
      <c r="F43" s="22">
        <v>0.13096734809325913</v>
      </c>
      <c r="G43" s="22">
        <v>0.9286390764514976</v>
      </c>
      <c r="H43" s="22">
        <v>0</v>
      </c>
      <c r="I43" s="22">
        <v>0</v>
      </c>
      <c r="J43" s="30">
        <v>0.7539242017103083</v>
      </c>
      <c r="K43" s="30">
        <v>0.0661955585746525</v>
      </c>
      <c r="L43" s="30">
        <f>L42+J43</f>
        <v>139.26010912045436</v>
      </c>
    </row>
    <row r="44">
      <c r="A44" s="16">
        <v>27</v>
      </c>
      <c r="B44" s="39">
        <v>8</v>
      </c>
      <c r="C44" s="25">
        <v>31.113252702184795</v>
      </c>
      <c r="D44" s="25">
        <v>46.6698790532772</v>
      </c>
      <c r="E44" s="22">
        <v>1.66844817615466</v>
      </c>
      <c r="F44" s="22">
        <v>0.1204899602457984</v>
      </c>
      <c r="G44" s="22">
        <v>0.9157879503353777</v>
      </c>
      <c r="H44" s="22">
        <v>0</v>
      </c>
      <c r="I44" s="22">
        <v>0</v>
      </c>
      <c r="J44" s="30">
        <v>0.6321702655734837</v>
      </c>
      <c r="K44" s="30">
        <v>0.05046595503694813</v>
      </c>
      <c r="L44" s="30">
        <f>L43+J44</f>
        <v>139.89227938602784</v>
      </c>
    </row>
    <row r="45">
      <c r="A45" s="16">
        <v>28</v>
      </c>
      <c r="B45" s="39">
        <v>8</v>
      </c>
      <c r="C45" s="25">
        <v>28.62419248601002</v>
      </c>
      <c r="D45" s="25">
        <v>42.93628872901502</v>
      </c>
      <c r="E45" s="22">
        <v>1.534972322062287</v>
      </c>
      <c r="F45" s="22">
        <v>0.11085076342613455</v>
      </c>
      <c r="G45" s="22">
        <v>0.9039649143085475</v>
      </c>
      <c r="H45" s="22">
        <v>0</v>
      </c>
      <c r="I45" s="22">
        <v>0</v>
      </c>
      <c r="J45" s="30">
        <v>0.520156644327605</v>
      </c>
      <c r="K45" s="30">
        <v>0.03775552326392906</v>
      </c>
      <c r="L45" s="30">
        <f>L44+J45</f>
        <v>140.41243603035545</v>
      </c>
    </row>
    <row r="46">
      <c r="A46" s="16">
        <v>29</v>
      </c>
      <c r="B46" s="39">
        <v>8</v>
      </c>
      <c r="C46" s="25">
        <v>26.33425708712922</v>
      </c>
      <c r="D46" s="25">
        <v>39.501385630693825</v>
      </c>
      <c r="E46" s="22">
        <v>1.4121745362973044</v>
      </c>
      <c r="F46" s="22">
        <v>0.1019827023520438</v>
      </c>
      <c r="G46" s="22">
        <v>0.8930877211638637</v>
      </c>
      <c r="H46" s="22">
        <v>0</v>
      </c>
      <c r="I46" s="22">
        <v>0</v>
      </c>
      <c r="J46" s="30">
        <v>0.4171041127813967</v>
      </c>
      <c r="K46" s="30">
        <v>0.027529740908616436</v>
      </c>
      <c r="L46" s="30">
        <f>L45+J46</f>
        <v>140.82954014313685</v>
      </c>
    </row>
    <row r="47">
      <c r="A47" s="16">
        <v>30</v>
      </c>
      <c r="B47" s="39">
        <v>8</v>
      </c>
      <c r="C47" s="25">
        <v>24.227516520158876</v>
      </c>
      <c r="D47" s="25">
        <v>36.341274780238315</v>
      </c>
      <c r="E47" s="22">
        <v>1.29920057339352</v>
      </c>
      <c r="F47" s="22">
        <v>0.09382408616388029</v>
      </c>
      <c r="G47" s="22">
        <v>0.8830807034707547</v>
      </c>
      <c r="H47" s="22">
        <v>0</v>
      </c>
      <c r="I47" s="22">
        <v>0</v>
      </c>
      <c r="J47" s="30">
        <v>0.322295783758885</v>
      </c>
      <c r="K47" s="30">
        <v>0.01934523255882907</v>
      </c>
      <c r="L47" s="30">
        <f>L46+J47</f>
        <v>141.15183592689573</v>
      </c>
    </row>
    <row r="48">
      <c r="A48" s="16">
        <v>31</v>
      </c>
      <c r="B48" s="39">
        <v>3.6666666666666665</v>
      </c>
      <c r="C48" s="25">
        <v>10.480855916118623</v>
      </c>
      <c r="D48" s="25">
        <v>15.721283874177933</v>
      </c>
      <c r="E48" s="22">
        <v>0.5620358985018612</v>
      </c>
      <c r="F48" s="22">
        <v>0.040588424642158887</v>
      </c>
      <c r="G48" s="22">
        <v>0.40178406560156343</v>
      </c>
      <c r="H48" s="22">
        <v>0</v>
      </c>
      <c r="I48" s="22">
        <v>1.2</v>
      </c>
      <c r="J48" s="30">
        <v>-1.0803365917418613</v>
      </c>
      <c r="K48" s="30">
        <v>-0.058658243870943816</v>
      </c>
      <c r="L48" s="30">
        <f>L47+J48</f>
        <v>140.07149933515387</v>
      </c>
    </row>
    <row r="49">
      <c r="A49" s="16">
        <v>32</v>
      </c>
      <c r="B49" s="39">
        <v>0</v>
      </c>
      <c r="C49" s="25">
        <v>0</v>
      </c>
      <c r="D49" s="25">
        <v>0</v>
      </c>
      <c r="E49" s="22">
        <v>0</v>
      </c>
      <c r="F49" s="22">
        <v>0</v>
      </c>
      <c r="G49" s="22">
        <v>0</v>
      </c>
      <c r="H49" s="22">
        <v>0</v>
      </c>
      <c r="I49" s="22">
        <v>0</v>
      </c>
      <c r="J49" s="30">
        <v>0</v>
      </c>
      <c r="K49" s="30">
        <v>0</v>
      </c>
      <c r="L49" s="30">
        <f>L48+J49</f>
        <v>140.07149933515387</v>
      </c>
    </row>
    <row r="50">
      <c r="A50" s="16">
        <v>33</v>
      </c>
      <c r="B50" s="39">
        <v>0</v>
      </c>
      <c r="C50" s="25">
        <v>0</v>
      </c>
      <c r="D50" s="25">
        <v>0</v>
      </c>
      <c r="E50" s="22">
        <v>0</v>
      </c>
      <c r="F50" s="22">
        <v>0</v>
      </c>
      <c r="G50" s="22">
        <v>0</v>
      </c>
      <c r="H50" s="22">
        <v>0</v>
      </c>
      <c r="I50" s="22">
        <v>0</v>
      </c>
      <c r="J50" s="30">
        <v>0</v>
      </c>
      <c r="K50" s="30">
        <v>0</v>
      </c>
      <c r="L50" s="30">
        <f>L49+J50</f>
        <v>140.07149933515387</v>
      </c>
    </row>
    <row r="51">
      <c r="A51" s="16">
        <v>34</v>
      </c>
      <c r="B51" s="39">
        <v>0</v>
      </c>
      <c r="C51" s="25">
        <v>0</v>
      </c>
      <c r="D51" s="25">
        <v>0</v>
      </c>
      <c r="E51" s="22">
        <v>0</v>
      </c>
      <c r="F51" s="22">
        <v>0</v>
      </c>
      <c r="G51" s="22">
        <v>0</v>
      </c>
      <c r="H51" s="22">
        <v>0</v>
      </c>
      <c r="I51" s="22">
        <v>0</v>
      </c>
      <c r="J51" s="30">
        <v>0</v>
      </c>
      <c r="K51" s="30">
        <v>0</v>
      </c>
      <c r="L51" s="30">
        <f>L50+J51</f>
        <v>140.07149933515387</v>
      </c>
    </row>
    <row r="52">
      <c r="A52" s="16">
        <v>35</v>
      </c>
      <c r="B52" s="39">
        <v>0</v>
      </c>
      <c r="C52" s="25">
        <v>0</v>
      </c>
      <c r="D52" s="25">
        <v>0</v>
      </c>
      <c r="E52" s="22">
        <v>0</v>
      </c>
      <c r="F52" s="22">
        <v>0</v>
      </c>
      <c r="G52" s="22">
        <v>0</v>
      </c>
      <c r="H52" s="22">
        <v>0</v>
      </c>
      <c r="I52" s="22">
        <v>0</v>
      </c>
      <c r="J52" s="30">
        <v>0</v>
      </c>
      <c r="K52" s="30">
        <v>0</v>
      </c>
      <c r="L52" s="30">
        <f>L51+J52</f>
        <v>140.07149933515387</v>
      </c>
    </row>
    <row r="53">
      <c r="A53" s="38" t="s">
        <v>149</v>
      </c>
      <c r="B53" s="40"/>
      <c r="C53" s="41">
        <f>SUM(C18:C52)</f>
        <v>4895.5527199432</v>
      </c>
      <c r="D53" s="41">
        <f>SUM(D18:D52)</f>
        <v>7343.3290799148</v>
      </c>
      <c r="E53" s="42">
        <f>SUM(E18:E52)</f>
        <v>262.5240146069541</v>
      </c>
      <c r="F53" s="42">
        <f>SUM(F18:F52)</f>
        <v>18.958639852070036</v>
      </c>
      <c r="G53" s="42">
        <f>SUM(G18:G52)</f>
        <v>46.2938754197302</v>
      </c>
      <c r="H53" s="42">
        <f>SUM(H18:H52)</f>
        <v>56</v>
      </c>
      <c r="I53" s="42">
        <f>SUM(I18:I52)</f>
        <v>1.2</v>
      </c>
      <c r="J53" s="43">
        <f>SUM(J18:J52)</f>
        <v>140.07149933515385</v>
      </c>
      <c r="K53" s="43">
        <f>SUM(K18:K52)</f>
        <v>76.22791733931082</v>
      </c>
      <c r="L53" s="43"/>
    </row>
  </sheetData>
  <mergeCells>
    <mergeCell ref="A4:E4"/>
    <mergeCell ref="A5:C5"/>
    <mergeCell ref="A6:C6"/>
    <mergeCell ref="A7:C7"/>
    <mergeCell ref="A8:C8"/>
    <mergeCell ref="A9:C9"/>
    <mergeCell ref="A10:C10"/>
    <mergeCell ref="A11:C11"/>
    <mergeCell ref="A12:C12"/>
    <mergeCell ref="A13:C13"/>
    <mergeCell ref="A14:C14"/>
    <mergeCell ref="G4:L4"/>
    <mergeCell ref="G5:I5"/>
    <mergeCell ref="K5:M5"/>
    <mergeCell ref="G6:I6"/>
    <mergeCell ref="K6:M6"/>
    <mergeCell ref="G7:I7"/>
    <mergeCell ref="K7:M7"/>
    <mergeCell ref="G8:I8"/>
    <mergeCell ref="K8:M8"/>
    <mergeCell ref="G9:I9"/>
    <mergeCell ref="K9:M9"/>
    <mergeCell ref="G10:I10"/>
    <mergeCell ref="K10:M10"/>
    <mergeCell ref="G11:I11"/>
    <mergeCell ref="K11:M11"/>
    <mergeCell ref="G12:I12"/>
    <mergeCell ref="J12:M12"/>
    <mergeCell ref="G13:I13"/>
    <mergeCell ref="G14:I14"/>
  </mergeCells>
  <conditionalFormatting sqref="J13">
    <cfRule type="expression" dxfId="2" priority="1">
      <formula>ABS(J13)&gt;0.000001</formula>
    </cfRule>
  </conditionalFormatting>
  <conditionalFormatting sqref="J14">
    <cfRule type="expression" dxfId="3" priority="2">
      <formula>ABS(J14)&gt;0.000001</formula>
    </cfRule>
  </conditionalFormatting>
  <pageSetup orientation="landscape" fitToWidth="1" fitToHeight="1"/>
  <headerFooter/>
  <drawing r:id="rId1"/>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