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text/plain" PartName="/EPPlusLicense.txt"/>
  <Override ContentType="application/vnd.openxmlformats-officedocument.spreadsheetml.sheetMetadata+xml" PartName="/xl/metadata.xml"/>
  <Override ContentType="application/vnd.ms-excel.rdrichvaluetypes+xml" PartName="/xl/richData/rdRichValueTypes.xml"/>
  <Override ContentType="application/vnd.ms-excel.rdrichvaluestructure+xml" PartName="/xl/richData/rdrichvaluestructure.xml"/>
  <Override ContentType="application/vnd.ms-excel.rdrichvalue+xml" PartName="/xl/richData/rdrichvalue.xml"/>
  <Override ContentType="application/vnd.ms-excel.rdarray+xml" PartName="/xl/richData/rdarray.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activeTab="0"/>
  </bookViews>
  <sheets>
    <sheet name="About" sheetId="1" r:id="rId1"/>
    <sheet name="Blueprint" sheetId="2" r:id="rId3"/>
  </sheets>
  <definedNames>
    <definedName name="_PO.ESP.Affinity.Head" comment="Affinity law: head at freq from the head at f_base, ft">_xlfn.LAMBDA(_xlpm.head,_xlpm.freq,_xlpm.f_base, _xlpm.head*(_xlpm.freq/_xlpm.f_base)^2)</definedName>
    <definedName name="_PO.ESP.Affinity.Rate" comment="Affinity law: rate at freq from the rate at f_base, bbl/d">_xlfn.LAMBDA(_xlpm.rate,_xlpm.freq,_xlpm.f_base, _xlpm.rate*_xlpm.freq/_xlpm.f_base)</definedName>
    <definedName name="_PO.ESP.Curve.HeadAtSpeed" comment="Head per stage at rate and freq from a catalog curve at f_base (0 beyond run-out), ft/stage">_xlfn.LAMBDA(_xlpm.rate,_xlpm.freq,_xlpm.f_base,_xlpm.curve_q,_xlpm.curve_head, IF(_xlpm.rate*_xlpm.f_base/_xlpm.freq&gt;MAX(_xlpm.curve_q),0,_PO.ESP.Affinity.Head(PO.ESP.Curve.Head(_xlpm.rate*_xlpm.f_base/_xlpm.freq,_xlpm.curve_q,_xlpm.curve_head),_xlpm.freq,_xlpm.f_base)))</definedName>
    <definedName name="_PO.ESP.Curve.PowerAtSpeed" comment="Brake power per stage (water) at rate and freq from a catalog curve at f_base (#N/A beyond run-out), HP/stage">_xlfn.LAMBDA(_xlpm.rate,_xlpm.freq,_xlpm.f_base,_xlpm.curve_q,_xlpm.curve_hp, IF(_xlpm.rate*_xlpm.f_base/_xlpm.freq&gt;MAX(_xlpm.curve_q),NA(),PO.ESP.Curve.Power(_xlpm.rate*_xlpm.f_base/_xlpm.freq,_xlpm.curve_q,_xlpm.curve_hp)*(_xlpm.freq/_xlpm.f_base)^3))</definedName>
    <definedName name="_PO.ESP.DWS.TDH" comment="TDH of a downhole water sink loop: drain rate through PI at p_drain, re-inject through II at p_inj, dz_ft deeper, ft">_xlfn.LAMBDA(_xlpm.rate,_xlpm.p_drain,_xlpm.pi_drain,_xlpm.p_inj,_xlpm.ii_inj,_xlpm.dz_ft,_xlpm.sg_water,_xlpm.h_fric, PO.ESP.Head.FromPressure((_xlpm.p_inj+_xlpm.rate/_xlpm.ii_inj)-(_xlpm.p_drain-_xlpm.rate/_xlpm.pi_drain),_xlpm.sg_water)-_xlpm.dz_ft+_xlpm.h_fric)</definedName>
    <definedName name="_PO.ESP.Motor.CoolingVelocity" comment="Fluid velocity in the annulus past the motor, ft/s">_xlfn.LAMBDA(_xlpm.rate,_xlpm.casing_id,_xlpm.motor_od, 0.0119*_xlpm.rate/(_xlpm.casing_id^2-_xlpm.motor_od^2))</definedName>
    <definedName name="_PO.ESP.Shaft.Thrust" comment="Hydraulic thrust on the pump shaft from the pump differential pressure, lbf">_xlfn.LAMBDA(_xlpm.dp_psi,_xlpm.d_shaft, _xlpm.dp_psi*PI()/4*_xlpm.d_shaft^2)</definedName>
    <definedName name="DWS_BHPop" comment="Brake horsepower at the operating point, HP">Blueprint!$B$65</definedName>
    <definedName name="DWS_CasingID" comment="Casing (or shroud) ID at the motor, in">Blueprint!$B$26</definedName>
    <definedName name="DWS_CurveEff" comment="Pump curve efficiency, fraction">Blueprint!$H$6:$H$17</definedName>
    <definedName name="DWS_CurveH" comment="Pump curve head per stage, ft/stage">Blueprint!$F$6:$F$17</definedName>
    <definedName name="DWS_CurveP" comment="Pump curve brake horsepower per stage (water), HP/stage">Blueprint!$G$6:$G$17</definedName>
    <definedName name="DWS_CurveQ" comment="Pump curve rate points, bbl/d">Blueprint!$E$6:$E$17</definedName>
    <definedName name="DWS_dP" comment="Pump differential pressure at the operating point, psi">Blueprint!$B$66</definedName>
    <definedName name="DWS_dZ" comment="Vertical distance, drainage to injection perforations, ft">Blueprint!$B$12</definedName>
    <definedName name="DWS_F" comment="Design frequency, Hz">Blueprint!$B$59</definedName>
    <definedName name="DWS_Fbase" comment="Catalog curve frequency, Hz">Blueprint!$B$18</definedName>
    <definedName name="DWS_FlowID" comment="Flow-path ID, pump discharge to injection perforations, in">Blueprint!$B$13</definedName>
    <definedName name="DWS_FlowL" comment="Flow-path length, ft">Blueprint!$B$14</definedName>
    <definedName name="DWS_FreqSet" comment="Design frequency (0 = solve for the design rate), Hz">Blueprint!$B$19</definedName>
    <definedName name="DWS_FTarget" comment="Frequency that delivers the design rate, Hz">Blueprint!$B$58</definedName>
    <definedName name="DWS_GridTop" comment="Upper bound of the rate grid, bbl/d">Blueprint!$B$81</definedName>
    <definedName name="DWS_HfT" comment="Flow-path friction at the design rate, ft">Blueprint!$B$44</definedName>
    <definedName name="DWS_Hst" comment="Static head between zones at zero rate, ft">Blueprint!$B$43</definedName>
    <definedName name="DWS_HStgT" comment="Head per stage at the design rate, catalog frequency, ft/stage">Blueprint!$B$53</definedName>
    <definedName name="DWS_II" comment="Injectivity index (end-of-life value), bbl/d/psi">Blueprint!$B$11</definedName>
    <definedName name="DWS_Kq" comment="System-curve rate coefficient, ft per bbl/d">Blueprint!$B$80</definedName>
    <definedName name="DWS_MotorHP" comment="Motor nameplate power at catalog frequency, HP">Blueprint!$B$23</definedName>
    <definedName name="DWS_MotorOD" comment="Motor OD, in">Blueprint!$B$25</definedName>
    <definedName name="DWS_N" comment="Stages installed">Blueprint!$B$55</definedName>
    <definedName name="DWS_PackerRating" comment="Packer differential pressure rating, psi">Blueprint!$B$29</definedName>
    <definedName name="DWS_Pdr" comment="Drainage zone static pressure, psi">Blueprint!$B$8</definedName>
    <definedName name="DWS_PI" comment="Drainage productivity index, bbl/d/psi">Blueprint!$B$9</definedName>
    <definedName name="DWS_Pinj" comment="Injection zone static pressure (0 = same aquifer), psi">Blueprint!$B$10</definedName>
    <definedName name="DWS_PinjSt" comment="Injection zone static pressure used (same-aquifer value when the input is 0), psi">Blueprint!$B$37</definedName>
    <definedName name="DWS_Q" comment="Target water rate (drainage = injection), bbl/d">Blueprint!$B$5</definedName>
    <definedName name="DWS_QBEP" comment="Best efficiency point rate at catalog frequency, bbl/d">Blueprint!$B$51</definedName>
    <definedName name="DWS_Qd" comment="Design water rate: PI x target sink, or the target rate, bbl/d">Blueprint!$B$33</definedName>
    <definedName name="DWS_Qmax" comment="Recommended range, maximum rate, bbl/d">Blueprint!$B$22</definedName>
    <definedName name="DWS_Qmin" comment="Recommended range, minimum rate, bbl/d">Blueprint!$B$21</definedName>
    <definedName name="DWS_Qop" comment="Operating rate at the design frequency, bbl/d">Blueprint!$B$60</definedName>
    <definedName name="DWS_SF" comment="Motor sizing safety factor">Blueprint!$B$24</definedName>
    <definedName name="DWS_SG" comment="Water specific gravity (not the psi/ft gradient)">Blueprint!$B$7</definedName>
    <definedName name="DWS_Shaft" comment="Pump shaft diameter, in">Blueprint!$B$28</definedName>
    <definedName name="DWS_Sink" comment="Target sink at the drainage perforations (0 = design by rate), psi">Blueprint!$B$6</definedName>
    <definedName name="DWS_StagesSet" comment="Stages installed (0 = minimum at catalog frequency), stages">Blueprint!$B$20</definedName>
    <definedName name="DWS_TDH" comment="Design TDH, ft">Blueprint!$B$46</definedName>
    <definedName name="DWS_TDHKnown" comment="Known TDH at the design rate (0 = loop hydraulics), ft">Blueprint!$B$15</definedName>
    <definedName name="DWS_TDHLoop" comment="TDH from loop hydraulics at the design rate, ft">Blueprint!$B$45</definedName>
    <definedName name="DWS_TDHop" comment="TDH at the operating point, ft">Blueprint!$B$61</definedName>
    <definedName name="DWS_Temp" comment="Water temperature at the motor, degF">Blueprint!$B$27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<sst xmlns="http://schemas.openxmlformats.org/spreadsheetml/2006/main" count="129" uniqueCount="129">
  <si>
    <t>Id</t>
  </si>
  <si>
    <t>po.esp.dws.sizing</t>
  </si>
  <si>
    <t>Name</t>
  </si>
  <si>
    <t>Inverted ESP Sizing for a Downhole Water Sink</t>
  </si>
  <si>
    <t>Description</t>
  </si>
  <si>
    <r>
      <rPr>
        <rFont val="Aptos Narrow"/>
        <sz val="11"/>
      </rPr>
      <t>Sizes an ESP that runs inverted in a downhole water sink or downhole water loop: water drained below the oil–water contact is pumped down through a packer and re-injected into the base of the same aquifer. Nothing is lifted to surface, so the system curve is drainage drawdown plus injection build-up plus friction. Design by rate, or by the sink wanted at the drainage perforations (rate = PI × sink). Returns the TDH split into sink head, injection head, static head and friction, the stage count, the drive frequency that delivers the design rate, the operating point, efficiency, brake horsepower, the sink it makes, motor loading and cooling, and the packer and shaft-thrust checks, with a performance chart.</t>
    </r>
    <r>
      <rPr>
        <rFont val="Aptos Narrow"/>
        <sz val="11"/>
      </rPr>
      <t xml:space="preserve">_x000A_</t>
    </r>
    <r>
      <rPr>
        <rFont val="Aptos Narrow"/>
        <b/>
        <sz val="11"/>
      </rPr>
      <t>Parameters:</t>
    </r>
    <r>
      <rPr>
        <rFont val="Aptos Narrow"/>
        <sz val="11"/>
      </rPr>
      <t xml:space="preserve">_x000A_</t>
    </r>
    <r>
      <rPr>
        <rFont val="Aptos Narrow"/>
        <sz val="11"/>
      </rPr>
      <t xml:space="preserve">• </t>
    </r>
    <r>
      <rPr>
        <rFont val="Aptos Narrow"/>
        <b/>
        <sz val="11"/>
      </rPr>
      <t>Q</t>
    </r>
    <r>
      <rPr>
        <rFont val="Aptos Narrow"/>
        <sz val="11"/>
      </rPr>
      <t>: Target water rate, drainage = injection (bbl/d)</t>
    </r>
    <r>
      <rPr>
        <rFont val="Aptos Narrow"/>
        <sz val="11"/>
      </rPr>
      <t xml:space="preserve">_x000A_</t>
    </r>
    <r>
      <rPr>
        <rFont val="Aptos Narrow"/>
        <sz val="11"/>
      </rPr>
      <t xml:space="preserve">• </t>
    </r>
    <r>
      <rPr>
        <rFont val="Aptos Narrow"/>
        <b/>
        <sz val="11"/>
      </rPr>
      <t>sink</t>
    </r>
    <r>
      <rPr>
        <rFont val="Aptos Narrow"/>
        <sz val="11"/>
      </rPr>
      <t>: Target sink at the drainage perforations, 0 to design by rate (psi)</t>
    </r>
    <r>
      <rPr>
        <rFont val="Aptos Narrow"/>
        <sz val="11"/>
      </rPr>
      <t xml:space="preserve">_x000A_</t>
    </r>
    <r>
      <rPr>
        <rFont val="Aptos Narrow"/>
        <sz val="11"/>
      </rPr>
      <t xml:space="preserve">• </t>
    </r>
    <r>
      <rPr>
        <rFont val="Aptos Narrow"/>
        <b/>
        <sz val="11"/>
      </rPr>
      <t>SG</t>
    </r>
    <r>
      <rPr>
        <rFont val="Aptos Narrow"/>
        <sz val="11"/>
      </rPr>
      <t>: Water specific gravity, not the psi/ft gradient (dimensionless)</t>
    </r>
    <r>
      <rPr>
        <rFont val="Aptos Narrow"/>
        <sz val="11"/>
      </rPr>
      <t xml:space="preserve">_x000A_</t>
    </r>
    <r>
      <rPr>
        <rFont val="Aptos Narrow"/>
        <sz val="11"/>
      </rPr>
      <t xml:space="preserve">• </t>
    </r>
    <r>
      <rPr>
        <rFont val="Aptos Narrow"/>
        <b/>
        <sz val="11"/>
      </rPr>
      <t>P_drain, PI</t>
    </r>
    <r>
      <rPr>
        <rFont val="Aptos Narrow"/>
        <sz val="11"/>
      </rPr>
      <t>: Drainage zone static pressure (psi) and productivity index (bbl/d/psi)</t>
    </r>
    <r>
      <rPr>
        <rFont val="Aptos Narrow"/>
        <sz val="11"/>
      </rPr>
      <t xml:space="preserve">_x000A_</t>
    </r>
    <r>
      <rPr>
        <rFont val="Aptos Narrow"/>
        <sz val="11"/>
      </rPr>
      <t xml:space="preserve">• </t>
    </r>
    <r>
      <rPr>
        <rFont val="Aptos Narrow"/>
        <b/>
        <sz val="11"/>
      </rPr>
      <t>P_inj, II</t>
    </r>
    <r>
      <rPr>
        <rFont val="Aptos Narrow"/>
        <sz val="11"/>
      </rPr>
      <t>: Injection zone static pressure, 0 for the same aquifer (psi), and injectivity index (bbl/d/psi)</t>
    </r>
    <r>
      <rPr>
        <rFont val="Aptos Narrow"/>
        <sz val="11"/>
      </rPr>
      <t xml:space="preserve">_x000A_</t>
    </r>
    <r>
      <rPr>
        <rFont val="Aptos Narrow"/>
        <sz val="11"/>
      </rPr>
      <t xml:space="preserve">• </t>
    </r>
    <r>
      <rPr>
        <rFont val="Aptos Narrow"/>
        <b/>
        <sz val="11"/>
      </rPr>
      <t>ΔZ</t>
    </r>
    <r>
      <rPr>
        <rFont val="Aptos Narrow"/>
        <sz val="11"/>
      </rPr>
      <t>: Vertical distance from the drainage to the injection perforations (ft)</t>
    </r>
    <r>
      <rPr>
        <rFont val="Aptos Narrow"/>
        <sz val="11"/>
      </rPr>
      <t xml:space="preserve">_x000A_</t>
    </r>
    <r>
      <rPr>
        <rFont val="Aptos Narrow"/>
        <sz val="11"/>
      </rPr>
      <t xml:space="preserve">• </t>
    </r>
    <r>
      <rPr>
        <rFont val="Aptos Narrow"/>
        <b/>
        <sz val="11"/>
      </rPr>
      <t>Pump curve</t>
    </r>
    <r>
      <rPr>
        <rFont val="Aptos Narrow"/>
        <sz val="11"/>
      </rPr>
      <t>: One stage at catalog frequency for water: rate, head and brake horsepower. The shipped curve is example data.</t>
    </r>
    <r>
      <rPr>
        <rFont val="Aptos Narrow"/>
        <sz val="11"/>
      </rPr>
      <t xml:space="preserve">_x000A_</t>
    </r>
    <r>
      <rPr>
        <rFont val="Aptos Narrow"/>
        <b/>
        <sz val="11"/>
      </rPr>
      <t>Method:</t>
    </r>
    <r>
      <rPr>
        <rFont val="Aptos Narrow"/>
        <sz val="11"/>
      </rPr>
      <t xml:space="preserve"> TDH(Q) = </t>
    </r>
    <r>
      <rPr>
        <rFont val="Aptos Narrow"/>
        <sz val="11"/>
      </rPr>
      <t>[</t>
    </r>
    <r>
      <rPr>
        <rFont val="Aptos Narrow"/>
        <sz val="11"/>
      </rPr>
      <t xml:space="preserve">(P_inj + Q/II) − (P_drain − Q/PI)] / (0.433 × SG) − ΔZ + friction(Q). In one connected aquifer the static terms cancel, so with II close to PI the pump needs about twice the sink head: it pays for the sink and for re-injecting the same water. Stages are set at catalog frequency; the frequency that delivers the design rate and the operating point at the design frequency are each found on a table, by linear interpolation between the two bracketing rows, with the affinity laws moving the curve with speed. Two checks flag an SG outside 0.90–1.30 (a psi/ft gradient typed as SG) and a static head between the zones beyond 5 ft (pressures and spacing that do not describe one connected aquifer). The functions the </t>
    </r>
    <r>
      <rPr>
        <rFont val="Aptos Narrow"/>
        <sz val="11"/>
      </rPr>
      <t>PO.ESP.*</t>
    </r>
    <r>
      <rPr>
        <rFont val="Aptos Narrow"/>
        <sz val="11"/>
      </rPr>
      <t xml:space="preserve"> catalog lacks are defined as </t>
    </r>
    <r>
      <rPr>
        <rFont val="Aptos Narrow"/>
        <sz val="11"/>
      </rPr>
      <t>_PO.ESP.*</t>
    </r>
    <r>
      <rPr>
        <rFont val="Aptos Narrow"/>
        <sz val="11"/>
      </rPr>
      <t xml:space="preserve"> LAMBDAs. The rate cases, the variable-speed chart and the guide are in the Inverted ESP Sizing workbook.</t>
    </r>
  </si>
  <si>
    <t>Category</t>
  </si>
  <si>
    <t>Electric Submersible Pump</t>
  </si>
  <si>
    <t>Type</t>
  </si>
  <si>
    <t>worksheet</t>
  </si>
  <si>
    <t>Tags</t>
  </si>
  <si>
    <t>ESP, downhole-water-sink, inverted-esp, pump-sizing, TDH, system-curve, operating-point, BEP, water, injection</t>
  </si>
  <si>
    <t>Website</t>
  </si>
  <si>
    <t>petroleumoffice.com</t>
  </si>
  <si>
    <t>Academic Program</t>
  </si>
  <si>
    <t>petroleumoffice.com/academics</t>
  </si>
  <si>
    <t>Inverted ESP Sizing — Downhole Water Sink</t>
  </si>
  <si>
    <t>Blue cells on yellow are inputs. The pump curve is EXAMPLE data: replace it with the vendor's single-stage curve.</t>
  </si>
  <si>
    <t>Loop Hydraulics</t>
  </si>
  <si>
    <t>Pump Curve — one stage at catalog frequency, water (EXAMPLE)</t>
  </si>
  <si>
    <t>Target water rate (drainage = injection)</t>
  </si>
  <si>
    <t>bbl/d</t>
  </si>
  <si>
    <t>Rate (bbl/d)</t>
  </si>
  <si>
    <t>Head (ft/stage)</t>
  </si>
  <si>
    <t>BHP (HP/stage)</t>
  </si>
  <si>
    <t>Efficiency</t>
  </si>
  <si>
    <t>Target sink at the drainage perforations (0 = design by rate)</t>
  </si>
  <si>
    <t>psi</t>
  </si>
  <si>
    <t>Water specific gravity (not the psi/ft gradient)</t>
  </si>
  <si>
    <t>—</t>
  </si>
  <si>
    <t>Drainage zone static pressure</t>
  </si>
  <si>
    <t>Drainage productivity index</t>
  </si>
  <si>
    <t>bbl/d/psi</t>
  </si>
  <si>
    <t>Injection zone static pressure (0 = same aquifer)</t>
  </si>
  <si>
    <t>Injectivity index (end-of-life value)</t>
  </si>
  <si>
    <t>Vertical distance, drainage to injection perforations</t>
  </si>
  <si>
    <t>ft</t>
  </si>
  <si>
    <t>Flow-path ID, pump discharge to injection perforations</t>
  </si>
  <si>
    <t>in</t>
  </si>
  <si>
    <t>Flow-path length</t>
  </si>
  <si>
    <t>Known TDH at the design rate (0 = loop hydraulics)</t>
  </si>
  <si>
    <t>Pump, Drive and Motor</t>
  </si>
  <si>
    <t>Catalog curve frequency</t>
  </si>
  <si>
    <t>Hz</t>
  </si>
  <si>
    <t>Design frequency (0 = solve for the design rate)</t>
  </si>
  <si>
    <t>Stages installed (0 = minimum at catalog frequency)</t>
  </si>
  <si>
    <t>stages</t>
  </si>
  <si>
    <t>Recommended range, minimum rate</t>
  </si>
  <si>
    <t>Recommended range, maximum rate</t>
  </si>
  <si>
    <t>Motor nameplate power at catalog frequency</t>
  </si>
  <si>
    <t>HP</t>
  </si>
  <si>
    <t>Motor sizing safety factor</t>
  </si>
  <si>
    <t>Motor OD</t>
  </si>
  <si>
    <t>Casing (or shroud) ID at the motor</t>
  </si>
  <si>
    <t>Water temperature at the motor</t>
  </si>
  <si>
    <t>degF</t>
  </si>
  <si>
    <t>Pump shaft diameter</t>
  </si>
  <si>
    <t>Packer differential pressure rating</t>
  </si>
  <si>
    <t>Loop Hydraulics at the Design Rate</t>
  </si>
  <si>
    <t>Design basis</t>
  </si>
  <si>
    <t>Design water rate</t>
  </si>
  <si>
    <t>Drainage sink: drawdown (Q / PI)</t>
  </si>
  <si>
    <t>Injection pressure build-up (Q / II)</t>
  </si>
  <si>
    <t>Water pressure gradient (0.433 × SG)</t>
  </si>
  <si>
    <t>psi/ft</t>
  </si>
  <si>
    <t>Injection zone static pressure used</t>
  </si>
  <si>
    <t>SG check</t>
  </si>
  <si>
    <t>Same-aquifer check</t>
  </si>
  <si>
    <t>TDH at the Design Rate, in Feet of Water</t>
  </si>
  <si>
    <t>Sink head (drainage drawdown)</t>
  </si>
  <si>
    <t>Injection head (build-up)</t>
  </si>
  <si>
    <t>Static head between zones</t>
  </si>
  <si>
    <t>Flow-path friction</t>
  </si>
  <si>
    <t>TDH from loop hydraulics (sum of the four above)</t>
  </si>
  <si>
    <t>Design TDH (the known TDH when one is set)</t>
  </si>
  <si>
    <t>Share of the rate-driven head that makes the sink</t>
  </si>
  <si>
    <t>The pump pays for both ends of the loop: with II close to PI the design TDH is about twice the sink head.</t>
  </si>
  <si>
    <t>Pump Sizing at Catalog Frequency</t>
  </si>
  <si>
    <t>Best efficiency point (BEP) rate</t>
  </si>
  <si>
    <t>Efficiency at BEP</t>
  </si>
  <si>
    <t>Head per stage at the design rate</t>
  </si>
  <si>
    <t>ft/stage</t>
  </si>
  <si>
    <t>Stages required (exact)</t>
  </si>
  <si>
    <t>Stages installed</t>
  </si>
  <si>
    <t>Operating Point at the Design Frequency</t>
  </si>
  <si>
    <t>Frequency that delivers the design rate</t>
  </si>
  <si>
    <t>Design frequency (solved unless set above)</t>
  </si>
  <si>
    <t>Operating rate</t>
  </si>
  <si>
    <t>TDH at the operating point</t>
  </si>
  <si>
    <t>Rate as % of BEP at this speed</t>
  </si>
  <si>
    <t>Range check</t>
  </si>
  <si>
    <t>Pump efficiency</t>
  </si>
  <si>
    <t>Brake horsepower</t>
  </si>
  <si>
    <t>Pump differential pressure</t>
  </si>
  <si>
    <t>Sink at the operating point (drainage drawdown)</t>
  </si>
  <si>
    <t>Motor and Inverted Service</t>
  </si>
  <si>
    <t>Minimum motor power (BHP × safety factor)</t>
  </si>
  <si>
    <t>Motor load at the design frequency</t>
  </si>
  <si>
    <t>Load status</t>
  </si>
  <si>
    <t>Velocity past the motor</t>
  </si>
  <si>
    <t>ft/s</t>
  </si>
  <si>
    <t>Cooling check</t>
  </si>
  <si>
    <t>Estimated motor temperature</t>
  </si>
  <si>
    <t>Packer check (pump ΔP acting from below)</t>
  </si>
  <si>
    <t>Hydraulic thrust on the pump shaft</t>
  </si>
  <si>
    <t>lbf</t>
  </si>
  <si>
    <t>Calculation Tables (nothing to edit below)</t>
  </si>
  <si>
    <t>System-curve rate coefficient</t>
  </si>
  <si>
    <t>ft per bbl/d</t>
  </si>
  <si>
    <t>Rate grid upper bound</t>
  </si>
  <si>
    <t>System Curve and Pump Head on a Rate Grid (design frequency)</t>
  </si>
  <si>
    <t>System TDH (ft)</t>
  </si>
  <si>
    <t>Pump head (ft)</t>
  </si>
  <si>
    <t>Pump − system (ft)</t>
  </si>
  <si>
    <t>Crossing (bbl/d)</t>
  </si>
  <si>
    <t>Frequency That Delivers the Design Rate (installed stages)</t>
  </si>
  <si>
    <t>Frequency (Hz)</t>
  </si>
  <si>
    <t>Pump head at the design rate (ft)</t>
  </si>
  <si>
    <t>Crossing (Hz)</t>
  </si>
  <si>
    <t>Pump Curve at the Design Frequency (installed stages)</t>
  </si>
  <si>
    <t>Head (ft)</t>
  </si>
  <si>
    <t>Chart Markers</t>
  </si>
  <si>
    <t>Marker</t>
  </si>
  <si>
    <t>Operating point</t>
  </si>
  <si>
    <t>BEP at the design frequency</t>
  </si>
  <si>
    <t>Minimum rate, axis</t>
  </si>
  <si>
    <t>Minimum rate, pump curve</t>
  </si>
  <si>
    <t>Maximum rate, axis</t>
  </si>
  <si>
    <t>Maximum rate, pump curve</t>
  </si>
</sst>
</file>

<file path=xl/styles.xml><?xml version="1.0" encoding="utf-8"?>
<styleSheet xmlns="http://schemas.openxmlformats.org/spreadsheetml/2006/main">
  <numFmts count="0"/>
  <fonts count="3">
    <font>
      <sz val="11"/>
      <name val="Aptos Narrow"/>
    </font>
    <font>
      <u/>
      <sz val="11"/>
      <color rgb="FF0000FF"/>
      <name val="Aptos Narrow"/>
    </font>
    <font>
      <b/>
      <sz val="11"/>
      <name val="Aptos Narrow"/>
    </font>
  </fonts>
  <fills count="2">
    <fill>
      <patternFill patternType="none"/>
    </fill>
    <fill>
      <patternFill patternType="gray125"/>
    </fill>
  </fills>
  <borders count="1">
    <border>
      <left/>
      <right/>
      <top/>
      <bottom/>
      <diagonal/>
    </border>
  </borders>
  <cellStyleXfs count="1">
    <xf numFmtId="0" fontId="0"/>
  </cellStyleXfs>
  <cellXfs count="4">
    <xf numFmtId="0" fontId="0" xfId="0"/>
    <xf numFmtId="0" fontId="2" applyFont="1" applyAlignment="1">
      <alignment horizontal="right" vertical="top"/>
    </xf>
    <xf numFmtId="0" fontId="0" xfId="0" applyAlignment="1">
      <alignment wrapText="1"/>
    </xf>
    <xf numFmtId="0" fontId="1" applyFont="1" applyAlignment="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sheetMetadata" Target="/xl/metadata.xml"/><Relationship Id="rId5" Type="http://schemas.microsoft.com/office/2017/06/relationships/rdRichValueTypes" Target="/xl/richData/rdRichValueTypes.xml"/><Relationship Id="rId6" Type="http://schemas.microsoft.com/office/2017/06/relationships/rdRichValueStructure" Target="/xl/richData/rdrichvaluestructure.xml"/><Relationship Id="rId7" Type="http://schemas.microsoft.com/office/2017/06/relationships/rdRichValue" Target="/xl/richData/rdrichvalue.xml"/><Relationship Id="rId8" Type="http://schemas.microsoft.com/office/2017/06/relationships/rdArray" Target="/xl/richData/rdarray.xml"/><Relationship Id="rId9" Type="http://schemas.openxmlformats.org/officeDocument/2006/relationships/sharedStrings" Target="sharedStrings.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rvTypesInfo>
</file>

<file path=xl/richData/rdarray.xml><?xml version="1.0" encoding="utf-8"?>
<arrayData xmlns="http://schemas.microsoft.com/office/spreadsheetml/2017/richdata2" count="0"/>
</file>

<file path=xl/richData/rdrichvalue.xml><?xml version="1.0" encoding="utf-8"?>
<rvData xmlns="http://schemas.microsoft.com/office/spreadsheetml/2017/richdata" count="0"/>
</file>

<file path=xl/richData/rdrichvaluestructure.xml><?xml version="1.0" encoding="utf-8"?>
<rvStructures xmlns="http://schemas.microsoft.com/office/spreadsheetml/2017/richdata" count="0"/>
</file>

<file path=xl/worksheets/_rels/sheet1.xml.rels><?xml version="1.0" encoding="UTF-8" standalone="yes"?><Relationships xmlns="http://schemas.openxmlformats.org/package/2006/relationships"><Relationship Id="rId1" Type="http://schemas.openxmlformats.org/officeDocument/2006/relationships/hyperlink" Target="https://petroleumoffice.com/blueprint/po.esp.dws.sizing" TargetMode="External"/><Relationship Id="rId2" Type="http://schemas.openxmlformats.org/officeDocument/2006/relationships/hyperlink" Target="https://petroleumoffice.com" TargetMode="External"/><Relationship Id="rId3" Type="http://schemas.openxmlformats.org/officeDocument/2006/relationships/hyperlink" Target="https://petroleumoffice.com/academics" TargetMode="Externa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B9"/>
  <sheetViews>
    <sheetView workbookViewId="0" tabSelected="1"/>
  </sheetViews>
  <sheetFormatPr defaultRowHeight="15"/>
  <cols>
    <col min="1" max="1" width="19.151641845703125" customWidth="1"/>
    <col min="2" max="2" width="80" customWidth="1" style="2"/>
  </cols>
  <sheetData>
    <row r="1">
      <c r="A1" s="1" t="s">
        <v>0</v>
      </c>
      <c r="B1" s="3" t="s">
        <v>1</v>
      </c>
    </row>
    <row r="2">
      <c r="A2" s="1" t="s">
        <v>2</v>
      </c>
      <c r="B2" s="2" t="s">
        <v>3</v>
      </c>
    </row>
    <row r="3">
      <c r="A3" s="1" t="s">
        <v>4</v>
      </c>
      <c r="B3" s="2" t="s">
        <v>5</v>
      </c>
    </row>
    <row r="4">
      <c r="A4" s="1" t="s">
        <v>6</v>
      </c>
      <c r="B4" s="2" t="s">
        <v>7</v>
      </c>
    </row>
    <row r="5">
      <c r="A5" s="1" t="s">
        <v>8</v>
      </c>
      <c r="B5" s="2" t="s">
        <v>9</v>
      </c>
    </row>
    <row r="6">
      <c r="A6" s="1" t="s">
        <v>10</v>
      </c>
      <c r="B6" s="2" t="s">
        <v>11</v>
      </c>
    </row>
    <row r="7">
      <c r="A7" s="1"/>
    </row>
    <row r="8">
      <c r="A8" s="1" t="s">
        <v>12</v>
      </c>
      <c r="B8" s="3" t="s">
        <v>13</v>
      </c>
    </row>
    <row r="9">
      <c r="A9" s="1" t="s">
        <v>14</v>
      </c>
      <c r="B9" s="3" t="s">
        <v>15</v>
      </c>
    </row>
  </sheetData>
  <hyperlinks>
    <hyperlink ref="B1" r:id="rId1"/>
    <hyperlink ref="B8" r:id="rId2"/>
    <hyperlink ref="B9" r:id="rId3"/>
  </hyperlinks>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H208"/>
  <sheetViews>
    <sheetView workbookViewId="0"/>
  </sheetViews>
  <sheetFormatPr defaultRowHeight="15"/>
  <sheetData>
    <row r="1">
      <c r="A1" s="0" t="s">
        <v>16</v>
      </c>
    </row>
    <row r="2">
      <c r="A2" s="0" t="s">
        <v>17</v>
      </c>
    </row>
    <row r="4">
      <c r="A4" s="0" t="s">
        <v>18</v>
      </c>
      <c r="E4" s="0" t="s">
        <v>19</v>
      </c>
    </row>
    <row r="5">
      <c r="A5" s="0" t="s">
        <v>20</v>
      </c>
      <c r="B5" s="0">
        <v>3000</v>
      </c>
      <c r="C5" s="0" t="s">
        <v>21</v>
      </c>
      <c r="E5" s="0" t="s">
        <v>22</v>
      </c>
      <c r="F5" s="0" t="s">
        <v>23</v>
      </c>
      <c r="G5" s="0" t="s">
        <v>24</v>
      </c>
      <c r="H5" s="0" t="s">
        <v>25</v>
      </c>
    </row>
    <row r="6">
      <c r="A6" s="0" t="s">
        <v>26</v>
      </c>
      <c r="B6" s="0">
        <v>0</v>
      </c>
      <c r="C6" s="0" t="s">
        <v>27</v>
      </c>
      <c r="E6" s="0">
        <v>0</v>
      </c>
      <c r="F6" s="0">
        <v>52</v>
      </c>
      <c r="G6" s="0">
        <v>0.8</v>
      </c>
      <c r="H6" s="0" cm="1">
        <f t="array" ref="H6">PO.ESP.Pump.Efficiency(PO.ESP.HydraulicHP(E6,F6,1),G6)</f>
        <v>0</v>
      </c>
    </row>
    <row r="7">
      <c r="A7" s="0" t="s">
        <v>28</v>
      </c>
      <c r="B7" s="0">
        <v>1.07</v>
      </c>
      <c r="C7" s="0" t="s">
        <v>29</v>
      </c>
      <c r="E7" s="0">
        <v>500</v>
      </c>
      <c r="F7" s="0">
        <v>52.2</v>
      </c>
      <c r="G7" s="0">
        <v>0.924</v>
      </c>
      <c r="H7" s="0" cm="1">
        <f t="array" ref="H7">PO.ESP.Pump.Efficiency(PO.ESP.HydraulicHP(E7,F7,1),G7)</f>
        <v>0.20721828459845096</v>
      </c>
    </row>
    <row r="8">
      <c r="A8" s="0" t="s">
        <v>30</v>
      </c>
      <c r="B8" s="0">
        <v>3200</v>
      </c>
      <c r="C8" s="0" t="s">
        <v>27</v>
      </c>
      <c r="E8" s="0">
        <v>1000</v>
      </c>
      <c r="F8" s="0">
        <v>51.5</v>
      </c>
      <c r="G8" s="0">
        <v>1.003</v>
      </c>
      <c r="H8" s="0" cm="1">
        <f t="array" ref="H8">PO.ESP.Pump.Efficiency(PO.ESP.HydraulicHP(E8,F8,1),G8)</f>
        <v>0.37667416489618843</v>
      </c>
    </row>
    <row r="9">
      <c r="A9" s="0" t="s">
        <v>31</v>
      </c>
      <c r="B9" s="0">
        <v>10</v>
      </c>
      <c r="C9" s="0" t="s">
        <v>32</v>
      </c>
      <c r="E9" s="0">
        <v>1500</v>
      </c>
      <c r="F9" s="0">
        <v>50</v>
      </c>
      <c r="G9" s="0">
        <v>1.081</v>
      </c>
      <c r="H9" s="0" cm="1">
        <f t="array" ref="H9">PO.ESP.Pump.Efficiency(PO.ESP.HydraulicHP(E9,F9,1),G9)</f>
        <v>0.5089734254387932</v>
      </c>
    </row>
    <row r="10">
      <c r="A10" s="0" t="s">
        <v>33</v>
      </c>
      <c r="B10" s="0">
        <v>3246</v>
      </c>
      <c r="C10" s="0" t="s">
        <v>27</v>
      </c>
      <c r="E10" s="0">
        <v>2000</v>
      </c>
      <c r="F10" s="0">
        <v>47.6</v>
      </c>
      <c r="G10" s="0">
        <v>1.159</v>
      </c>
      <c r="H10" s="0" cm="1">
        <f t="array" ref="H10">PO.ESP.Pump.Efficiency(PO.ESP.HydraulicHP(E10,F10,1),G10)</f>
        <v>0.6025776931839716</v>
      </c>
    </row>
    <row r="11">
      <c r="A11" s="0" t="s">
        <v>34</v>
      </c>
      <c r="B11" s="0">
        <v>8</v>
      </c>
      <c r="C11" s="0" t="s">
        <v>32</v>
      </c>
      <c r="E11" s="0">
        <v>2500</v>
      </c>
      <c r="F11" s="0">
        <v>44.4</v>
      </c>
      <c r="G11" s="0">
        <v>1.234</v>
      </c>
      <c r="H11" s="0" cm="1">
        <f t="array" ref="H11">PO.ESP.Pump.Efficiency(PO.ESP.HydraulicHP(E11,F11,1),G11)</f>
        <v>0.6598836336231899</v>
      </c>
    </row>
    <row r="12">
      <c r="A12" s="0" t="s">
        <v>35</v>
      </c>
      <c r="B12" s="0">
        <v>100</v>
      </c>
      <c r="C12" s="0" t="s">
        <v>36</v>
      </c>
      <c r="E12" s="0">
        <v>3000</v>
      </c>
      <c r="F12" s="0">
        <v>40.3</v>
      </c>
      <c r="G12" s="0">
        <v>1.308</v>
      </c>
      <c r="H12" s="0" cm="1">
        <f t="array" ref="H12">PO.ESP.Pump.Efficiency(PO.ESP.HydraulicHP(E12,F12,1),G12)</f>
        <v>0.6780755656832786</v>
      </c>
    </row>
    <row r="13">
      <c r="A13" s="0" t="s">
        <v>37</v>
      </c>
      <c r="B13" s="0">
        <v>3.958</v>
      </c>
      <c r="C13" s="0" t="s">
        <v>38</v>
      </c>
      <c r="E13" s="0">
        <v>3500</v>
      </c>
      <c r="F13" s="0">
        <v>35.4</v>
      </c>
      <c r="G13" s="0">
        <v>1.378</v>
      </c>
      <c r="H13" s="0" cm="1">
        <f t="array" ref="H13">PO.ESP.Pump.Efficiency(PO.ESP.HydraulicHP(E13,F13,1),G13)</f>
        <v>0.6596014882653861</v>
      </c>
    </row>
    <row r="14">
      <c r="A14" s="0" t="s">
        <v>39</v>
      </c>
      <c r="B14" s="0">
        <v>150</v>
      </c>
      <c r="C14" s="0" t="s">
        <v>36</v>
      </c>
      <c r="E14" s="0">
        <v>4000</v>
      </c>
      <c r="F14" s="0">
        <v>29.6</v>
      </c>
      <c r="G14" s="0">
        <v>1.441</v>
      </c>
      <c r="H14" s="0" cm="1">
        <f t="array" ref="H14">PO.ESP.Pump.Efficiency(PO.ESP.HydraulicHP(E14,F14,1),G14)</f>
        <v>0.6027639353345483</v>
      </c>
    </row>
    <row r="15">
      <c r="A15" s="0" t="s">
        <v>40</v>
      </c>
      <c r="B15" s="0">
        <v>0</v>
      </c>
      <c r="C15" s="0" t="s">
        <v>36</v>
      </c>
      <c r="E15" s="0">
        <v>4500</v>
      </c>
      <c r="F15" s="0">
        <v>23</v>
      </c>
      <c r="G15" s="0">
        <v>1.491</v>
      </c>
      <c r="H15" s="0" cm="1">
        <f t="array" ref="H15">PO.ESP.Pump.Efficiency(PO.ESP.HydraulicHP(E15,F15,1),G15)</f>
        <v>0.5092396892026041</v>
      </c>
    </row>
    <row r="16">
      <c r="E16" s="0">
        <v>5000</v>
      </c>
      <c r="F16" s="0">
        <v>15.5</v>
      </c>
      <c r="G16" s="0">
        <v>1.509</v>
      </c>
      <c r="H16" s="0" cm="1">
        <f t="array" ref="H16">PO.ESP.Pump.Efficiency(PO.ESP.HydraulicHP(E16,F16,1),G16)</f>
        <v>0.37676625712125905</v>
      </c>
    </row>
    <row r="17">
      <c r="A17" s="0" t="s">
        <v>41</v>
      </c>
      <c r="E17" s="0">
        <v>5500</v>
      </c>
      <c r="F17" s="0">
        <v>7.2</v>
      </c>
      <c r="G17" s="0">
        <v>1.397</v>
      </c>
      <c r="H17" s="0" cm="1">
        <f t="array" ref="H17">PO.ESP.Pump.Efficiency(PO.ESP.HydraulicHP(E17,F17,1),G17)</f>
        <v>0.20794970944226848</v>
      </c>
    </row>
    <row r="18">
      <c r="A18" s="0" t="s">
        <v>42</v>
      </c>
      <c r="B18" s="0">
        <v>60</v>
      </c>
      <c r="C18" s="0" t="s">
        <v>43</v>
      </c>
    </row>
    <row r="19">
      <c r="A19" s="0" t="s">
        <v>44</v>
      </c>
      <c r="B19" s="0">
        <v>0</v>
      </c>
      <c r="C19" s="0" t="s">
        <v>43</v>
      </c>
    </row>
    <row r="20">
      <c r="A20" s="0" t="s">
        <v>45</v>
      </c>
      <c r="B20" s="0">
        <v>0</v>
      </c>
      <c r="C20" s="0" t="s">
        <v>46</v>
      </c>
    </row>
    <row r="21">
      <c r="A21" s="0" t="s">
        <v>47</v>
      </c>
      <c r="B21" s="0">
        <v>2200</v>
      </c>
      <c r="C21" s="0" t="s">
        <v>21</v>
      </c>
    </row>
    <row r="22">
      <c r="A22" s="0" t="s">
        <v>48</v>
      </c>
      <c r="B22" s="0">
        <v>3800</v>
      </c>
      <c r="C22" s="0" t="s">
        <v>21</v>
      </c>
    </row>
    <row r="23">
      <c r="A23" s="0" t="s">
        <v>49</v>
      </c>
      <c r="B23" s="0">
        <v>60</v>
      </c>
      <c r="C23" s="0" t="s">
        <v>50</v>
      </c>
    </row>
    <row r="24">
      <c r="A24" s="0" t="s">
        <v>51</v>
      </c>
      <c r="B24" s="0">
        <v>1.1</v>
      </c>
      <c r="C24" s="0" t="s">
        <v>29</v>
      </c>
    </row>
    <row r="25">
      <c r="A25" s="0" t="s">
        <v>52</v>
      </c>
      <c r="B25" s="0">
        <v>5.62</v>
      </c>
      <c r="C25" s="0" t="s">
        <v>38</v>
      </c>
    </row>
    <row r="26">
      <c r="A26" s="0" t="s">
        <v>53</v>
      </c>
      <c r="B26" s="0">
        <v>6.276</v>
      </c>
      <c r="C26" s="0" t="s">
        <v>38</v>
      </c>
    </row>
    <row r="27">
      <c r="A27" s="0" t="s">
        <v>54</v>
      </c>
      <c r="B27" s="0">
        <v>180</v>
      </c>
      <c r="C27" s="0" t="s">
        <v>55</v>
      </c>
    </row>
    <row r="28">
      <c r="A28" s="0" t="s">
        <v>56</v>
      </c>
      <c r="B28" s="0">
        <v>0.875</v>
      </c>
      <c r="C28" s="0" t="s">
        <v>38</v>
      </c>
    </row>
    <row r="29">
      <c r="A29" s="0" t="s">
        <v>57</v>
      </c>
      <c r="B29" s="0">
        <v>5000</v>
      </c>
      <c r="C29" s="0" t="s">
        <v>27</v>
      </c>
    </row>
    <row r="31">
      <c r="A31" s="0" t="s">
        <v>58</v>
      </c>
    </row>
    <row r="32">
      <c r="A32" s="0" t="s">
        <v>59</v>
      </c>
      <c r="B32" s="0" t="str">
        <f>IF(DWS_Sink&gt;0,"Target sink of "&amp;TEXT(DWS_Sink,"#,##0")&amp;" psi (rate = PI × sink)","Target rate")</f>
        <v>Target rate</v>
      </c>
    </row>
    <row r="33">
      <c r="A33" s="0" t="s">
        <v>60</v>
      </c>
      <c r="B33" s="0">
        <f>IF(DWS_Sink&gt;0,DWS_PI*DWS_Sink,DWS_Q)</f>
        <v>3000</v>
      </c>
      <c r="C33" s="0" t="s">
        <v>21</v>
      </c>
    </row>
    <row r="34">
      <c r="A34" s="0" t="s">
        <v>61</v>
      </c>
      <c r="B34" s="0" cm="1">
        <f t="array" ref="B34">PO.ESP.Nodal.Drawdown(DWS_Qd,DWS_PI)</f>
        <v>300</v>
      </c>
      <c r="C34" s="0" t="s">
        <v>27</v>
      </c>
    </row>
    <row r="35">
      <c r="A35" s="0" t="s">
        <v>62</v>
      </c>
      <c r="B35" s="0" cm="1">
        <f t="array" ref="B35">PO.ESP.Nodal.Drawdown(DWS_Qd,DWS_II)</f>
        <v>375</v>
      </c>
      <c r="C35" s="0" t="s">
        <v>27</v>
      </c>
    </row>
    <row r="36">
      <c r="A36" s="0" t="s">
        <v>63</v>
      </c>
      <c r="B36" s="0" cm="1">
        <f t="array" ref="B36">PO.ESP.Head.ToPressure(1,DWS_SG)</f>
        <v>0.46320346320346323</v>
      </c>
      <c r="C36" s="0" t="s">
        <v>64</v>
      </c>
    </row>
    <row r="37">
      <c r="A37" s="0" t="s">
        <v>65</v>
      </c>
      <c r="B37" s="0" cm="1">
        <f t="array" ref="B37">IF(DWS_Pinj&gt;0,DWS_Pinj,DWS_Pdr+PO.ESP.Head.ToPressure(DWS_dZ,DWS_SG))</f>
        <v>3246</v>
      </c>
      <c r="C37" s="0" t="s">
        <v>27</v>
      </c>
    </row>
    <row r="38">
      <c r="A38" s="0" t="s">
        <v>66</v>
      </c>
      <c r="B38" s="0" t="str">
        <f>IF(OR(DWS_SG&lt;0.9,DWS_SG&gt;1.3),"CHECK: SG outside 0.90–1.30 (not psi/ft)","OK")</f>
        <v>OK</v>
      </c>
    </row>
    <row r="39">
      <c r="A39" s="0" t="s">
        <v>67</v>
      </c>
      <c r="B39" s="0" t="str">
        <f>IF(ABS(DWS_Hst)&gt;5,"CHECK: P_inj ≠ P_drain + gradient × ΔZ","OK")</f>
        <v>OK</v>
      </c>
    </row>
    <row r="40">
      <c r="A40" s="0" t="s">
        <v>68</v>
      </c>
    </row>
    <row r="41">
      <c r="A41" s="0" t="s">
        <v>69</v>
      </c>
      <c r="B41" s="0" cm="1">
        <f t="array" ref="B41">PO.ESP.Head.FromPressure(B34,DWS_SG)</f>
        <v>647.6635514018691</v>
      </c>
      <c r="C41" s="0" t="s">
        <v>36</v>
      </c>
    </row>
    <row r="42">
      <c r="A42" s="0" t="s">
        <v>70</v>
      </c>
      <c r="B42" s="0" cm="1">
        <f t="array" ref="B42">PO.ESP.Head.FromPressure(B35,DWS_SG)</f>
        <v>809.5794392523364</v>
      </c>
      <c r="C42" s="0" t="s">
        <v>36</v>
      </c>
    </row>
    <row r="43">
      <c r="A43" s="0" t="s">
        <v>71</v>
      </c>
      <c r="B43" s="0" cm="1">
        <f ref="B43:B43" t="array">_PO.ESP.DWS.TDH(0,DWS_Pdr,DWS_PI,DWS_PinjSt,DWS_II,DWS_dZ,DWS_SG,0)</f>
        <v>-0.6915887850467328</v>
      </c>
      <c r="C43" s="0" t="s">
        <v>36</v>
      </c>
    </row>
    <row r="44">
      <c r="A44" s="0" t="s">
        <v>72</v>
      </c>
      <c r="B44" s="0" cm="1">
        <f t="array" ref="B44">PO.ESP.System.Hfric(DWS_Qd,DWS_FlowID,DWS_FlowL,DWS_SG)</f>
        <v>1.081413199783986</v>
      </c>
      <c r="C44" s="0" t="s">
        <v>36</v>
      </c>
    </row>
    <row r="45">
      <c r="A45" s="0" t="s">
        <v>73</v>
      </c>
      <c r="B45" s="0" cm="1">
        <f ref="B45:B45" t="array">_PO.ESP.DWS.TDH(DWS_Qd,DWS_Pdr,DWS_PI,DWS_PinjSt,DWS_II,DWS_dZ,DWS_SG,DWS_HfT)</f>
        <v>1457.6328150689428</v>
      </c>
      <c r="C45" s="0" t="s">
        <v>36</v>
      </c>
    </row>
    <row r="46">
      <c r="A46" s="0" t="s">
        <v>74</v>
      </c>
      <c r="B46" s="0">
        <f>IF(DWS_TDHKnown&gt;0,DWS_TDHKnown,DWS_TDHLoop)</f>
        <v>1457.6328150689428</v>
      </c>
      <c r="C46" s="0" t="s">
        <v>36</v>
      </c>
    </row>
    <row r="47">
      <c r="A47" s="0" t="s">
        <v>75</v>
      </c>
      <c r="B47" s="0">
        <f>(1/DWS_PI)/(1/DWS_PI+1/DWS_II)</f>
        <v>0.4444444444444445</v>
      </c>
    </row>
    <row r="48">
      <c r="A48" s="0" t="s">
        <v>76</v>
      </c>
    </row>
    <row r="50">
      <c r="A50" s="0" t="s">
        <v>77</v>
      </c>
    </row>
    <row r="51">
      <c r="A51" s="0" t="s">
        <v>78</v>
      </c>
      <c r="B51" s="0" cm="1">
        <f t="array" ref="B51">PO.ESP.Curve.BEP(DWS_CurveQ,DWS_CurveEff)</f>
        <v>2997.5</v>
      </c>
      <c r="C51" s="0" t="s">
        <v>21</v>
      </c>
    </row>
    <row r="52">
      <c r="A52" s="0" t="s">
        <v>79</v>
      </c>
      <c r="B52" s="0" cm="1">
        <f t="array" ref="B52">PO.ESP.Curve.BEP.Eff(DWS_CurveQ,DWS_CurveEff)</f>
        <v>0.6780764853490637</v>
      </c>
    </row>
    <row r="53">
      <c r="A53" s="0" t="s">
        <v>80</v>
      </c>
      <c r="B53" s="0" cm="1">
        <f t="array" ref="B53">PO.ESP.Curve.Head(DWS_Qd,DWS_CurveQ,DWS_CurveH)</f>
        <v>40.3</v>
      </c>
      <c r="C53" s="0" t="s">
        <v>81</v>
      </c>
    </row>
    <row r="54">
      <c r="A54" s="0" t="s">
        <v>82</v>
      </c>
      <c r="B54" s="0" cm="1">
        <f t="array" ref="B54">PO.ESP.Stages.Actual(DWS_TDH,DWS_HStgT)</f>
        <v>36.16954876101595</v>
      </c>
      <c r="C54" s="0" t="s">
        <v>46</v>
      </c>
    </row>
    <row r="55">
      <c r="A55" s="0" t="s">
        <v>83</v>
      </c>
      <c r="B55" s="0" cm="1">
        <f t="array" ref="B55">IF(DWS_StagesSet&gt;0,ROUND(DWS_StagesSet,0),PO.ESP.Stages(DWS_TDH,DWS_HStgT))</f>
        <v>37</v>
      </c>
      <c r="C55" s="0" t="s">
        <v>46</v>
      </c>
    </row>
    <row r="57">
      <c r="A57" s="0" t="s">
        <v>84</v>
      </c>
    </row>
    <row r="58">
      <c r="A58" s="0" t="s">
        <v>85</v>
      </c>
      <c r="B58" s="0">
        <f>IF(COUNT(C139:C183)=1,SUM(C139:C183),NA())</f>
        <v>59.49134083372292</v>
      </c>
      <c r="C58" s="0" t="s">
        <v>43</v>
      </c>
    </row>
    <row r="59">
      <c r="A59" s="0" t="s">
        <v>86</v>
      </c>
      <c r="B59" s="0">
        <f>IF(DWS_FreqSet&gt;0,DWS_FreqSet,DWS_FTarget)</f>
        <v>59.49134083372292</v>
      </c>
      <c r="C59" s="0" t="s">
        <v>43</v>
      </c>
    </row>
    <row r="60">
      <c r="A60" s="0" t="s">
        <v>87</v>
      </c>
      <c r="B60" s="0">
        <f>IF(COUNT(E85:E134)=1,SUM(E85:E134),NA())</f>
        <v>2999.672825511469</v>
      </c>
      <c r="C60" s="0" t="s">
        <v>21</v>
      </c>
    </row>
    <row r="61">
      <c r="A61" s="0" t="s">
        <v>88</v>
      </c>
      <c r="B61" s="0" cm="1">
        <f t="array" ref="B61">DWS_Hst+DWS_Kq*DWS_Qop+PO.ESP.System.Hfric(DWS_Qop,DWS_FlowID,DWS_FlowL,DWS_SG)</f>
        <v>1457.473672652345</v>
      </c>
      <c r="C61" s="0" t="s">
        <v>36</v>
      </c>
    </row>
    <row r="62">
      <c r="A62" s="0" t="s">
        <v>89</v>
      </c>
      <c r="B62" s="0">
        <f>DWS_Qop/(DWS_QBEP*DWS_F/DWS_Fbase)</f>
        <v>1.0092812149252366</v>
      </c>
    </row>
    <row r="63">
      <c r="A63" s="0" t="s">
        <v>90</v>
      </c>
      <c r="B63" s="0" t="str" cm="1">
        <f t="array" ref="B63">IF(PO.ESP.Curve.InRange(DWS_Qop,DWS_Qmin*DWS_F/DWS_Fbase,DWS_Qmax*DWS_F/DWS_Fbase),"Within recommended range",IF(DWS_Qop&lt;DWS_Qmin*DWS_F/DWS_Fbase,"Below minimum rate","Above maximum rate"))</f>
        <v>Within recommended range</v>
      </c>
    </row>
    <row r="64">
      <c r="A64" s="0" t="s">
        <v>91</v>
      </c>
      <c r="B64" s="0" cm="1">
        <f t="array" ref="B64">PO.ESP.Curve.Efficiency(DWS_Qop*DWS_Fbase/DWS_F,DWS_CurveQ,DWS_CurveEff)</f>
        <v>0.6780173967694462</v>
      </c>
    </row>
    <row r="65">
      <c r="A65" s="0" t="s">
        <v>92</v>
      </c>
      <c r="B65" s="0" cm="1">
        <f ref="B65:B65" t="array">DWS_N*DWS_SG*_PO.ESP.Curve.PowerAtSpeed(DWS_Qop,DWS_F,DWS_Fbase,DWS_CurveQ,DWS_CurveP)</f>
        <v>50.61910690957369</v>
      </c>
      <c r="C65" s="0" t="s">
        <v>50</v>
      </c>
    </row>
    <row r="66">
      <c r="A66" s="0" t="s">
        <v>93</v>
      </c>
      <c r="B66" s="0" cm="1">
        <f t="array" ref="B66">PO.ESP.Head.ToPressure(DWS_TDHop,DWS_SG)</f>
        <v>675.1068527004369</v>
      </c>
      <c r="C66" s="0" t="s">
        <v>27</v>
      </c>
    </row>
    <row r="67">
      <c r="A67" s="0" t="s">
        <v>94</v>
      </c>
      <c r="B67" s="0" cm="1">
        <f t="array" ref="B67">PO.ESP.Nodal.Drawdown(DWS_Qop,DWS_PI)</f>
        <v>299.9672825511469</v>
      </c>
      <c r="C67" s="0" t="s">
        <v>27</v>
      </c>
    </row>
    <row r="69">
      <c r="A69" s="0" t="s">
        <v>95</v>
      </c>
    </row>
    <row r="70">
      <c r="A70" s="0" t="s">
        <v>96</v>
      </c>
      <c r="B70" s="0" cm="1">
        <f t="array" ref="B70">PO.ESP.Motor.RequiredHP(DWS_BHPop,DWS_SF)</f>
        <v>55.681017600531064</v>
      </c>
      <c r="C70" s="0" t="s">
        <v>50</v>
      </c>
    </row>
    <row r="71">
      <c r="A71" s="0" t="s">
        <v>97</v>
      </c>
      <c r="B71" s="0" cm="1">
        <f t="array" ref="B71">PO.ESP.Motor.LoadFactor(DWS_BHPop,DWS_MotorHP*DWS_F/DWS_Fbase)</f>
        <v>0.8508651208762138</v>
      </c>
    </row>
    <row r="72">
      <c r="A72" s="0" t="s">
        <v>98</v>
      </c>
      <c r="B72" s="0" t="str" cm="1">
        <f t="array" ref="B72">PO.ESP.Motor.Load.Status(B71)</f>
        <v>Optimal loading</v>
      </c>
    </row>
    <row r="73">
      <c r="A73" s="0" t="s">
        <v>99</v>
      </c>
      <c r="B73" s="0" cm="1">
        <f ref="B73:B73" t="array">_PO.ESP.Motor.CoolingVelocity(DWS_Qop,DWS_CasingID,DWS_MotorOD)</f>
        <v>4.574209539534005</v>
      </c>
      <c r="C73" s="0" t="s">
        <v>100</v>
      </c>
    </row>
    <row r="74">
      <c r="A74" s="0" t="s">
        <v>101</v>
      </c>
      <c r="B74" s="0" t="str">
        <f>IF(B73&gt;=1,"OK (1 ft/s or more)","Below 1 ft/s — fit a shroud")</f>
        <v>OK (1 ft/s or more)</v>
      </c>
    </row>
    <row r="75">
      <c r="A75" s="0" t="s">
        <v>102</v>
      </c>
      <c r="B75" s="0" cm="1">
        <f t="array" ref="B75">PO.ESP.Motor.Temp.Rise(DWS_Temp,DWS_BHPop,DWS_Qop,DWS_MotorOD)</f>
        <v>192.65477672739343</v>
      </c>
      <c r="C75" s="0" t="s">
        <v>55</v>
      </c>
    </row>
    <row r="76">
      <c r="A76" s="0" t="s">
        <v>103</v>
      </c>
      <c r="B76" s="0" t="str">
        <f>IF(DWS_dP&lt;=DWS_PackerRating,"Within rating","Exceeds the packer rating")</f>
        <v>Within rating</v>
      </c>
    </row>
    <row r="77">
      <c r="A77" s="0" t="s">
        <v>104</v>
      </c>
      <c r="B77" s="0" cm="1">
        <f ref="B77:B77" t="array">_PO.ESP.Shaft.Thrust(DWS_dP,DWS_Shaft)</f>
        <v>405.9555691904649</v>
      </c>
      <c r="C77" s="0" t="s">
        <v>105</v>
      </c>
    </row>
    <row r="79">
      <c r="A79" s="0" t="s">
        <v>106</v>
      </c>
    </row>
    <row r="80">
      <c r="A80" s="0" t="s">
        <v>107</v>
      </c>
      <c r="B80" s="0">
        <f>(DWS_TDH-DWS_Hst-DWS_HfT)/DWS_Qd</f>
        <v>0.4857476635514018</v>
      </c>
      <c r="C80" s="0" t="s">
        <v>108</v>
      </c>
    </row>
    <row r="81">
      <c r="A81" s="0" t="s">
        <v>109</v>
      </c>
      <c r="B81" s="0">
        <f>MAX(DWS_CurveQ)*MAX(DWS_F,DWS_Fbase)/DWS_Fbase</f>
        <v>5500</v>
      </c>
      <c r="C81" s="0" t="s">
        <v>21</v>
      </c>
    </row>
    <row r="83">
      <c r="A83" s="0" t="s">
        <v>110</v>
      </c>
    </row>
    <row r="84">
      <c r="A84" s="0" t="s">
        <v>22</v>
      </c>
      <c r="B84" s="0" t="s">
        <v>111</v>
      </c>
      <c r="C84" s="0" t="s">
        <v>112</v>
      </c>
      <c r="D84" s="0" t="s">
        <v>113</v>
      </c>
      <c r="E84" s="0" t="s">
        <v>114</v>
      </c>
    </row>
    <row r="85">
      <c r="A85" s="0">
        <f>DWS_GridTop*0/50</f>
        <v>0</v>
      </c>
      <c r="B85" s="0" cm="1">
        <f t="array" ref="B85">DWS_Hst+DWS_Kq*A85+PO.ESP.System.Hfric(A85,DWS_FlowID,DWS_FlowL,DWS_SG)</f>
        <v>-0.6915887850467328</v>
      </c>
      <c r="C85" s="0" cm="1">
        <f ref="C85:C85" t="array">DWS_N*_PO.ESP.Curve.HeadAtSpeed(A85,DWS_F,DWS_Fbase,DWS_CurveQ,DWS_CurveH)</f>
        <v>1891.516271163783</v>
      </c>
      <c r="D85" s="0">
        <f>C85-B85</f>
        <v>1892.2078599488295</v>
      </c>
      <c r="E85" s="0" t="str">
        <f>IF(AND(D85&gt;0,D86&lt;=0),A85+D85/(D85-D86)*(A86-A85),"")</f>
      </c>
    </row>
    <row r="86">
      <c r="A86" s="0">
        <f>DWS_GridTop*1/50</f>
        <v>110</v>
      </c>
      <c r="B86" s="0" cm="1">
        <f t="array" ref="B86">DWS_Hst+DWS_Kq*A86+PO.ESP.System.Hfric(A86,DWS_FlowID,DWS_FlowL,DWS_SG)</f>
        <v>52.74304143312872</v>
      </c>
      <c r="C86" s="0" cm="1">
        <f ref="C86:C86" t="array">DWS_N*_PO.ESP.Curve.HeadAtSpeed(A86,DWS_F,DWS_Fbase,DWS_CurveQ,DWS_CurveH)</f>
        <v>1894.6492923946648</v>
      </c>
      <c r="D86" s="0">
        <f>C86-B86</f>
        <v>1841.9062509615362</v>
      </c>
      <c r="E86" s="0" t="str">
        <f>IF(AND(D86&gt;0,D87&lt;=0),A86+D86/(D86-D87)*(A87-A86),"")</f>
      </c>
    </row>
    <row r="87">
      <c r="A87" s="0">
        <f>DWS_GridTop*2/50</f>
        <v>220</v>
      </c>
      <c r="B87" s="0" cm="1">
        <f t="array" ref="B87">DWS_Hst+DWS_Kq*A87+PO.ESP.System.Hfric(A87,DWS_FlowID,DWS_FlowL,DWS_SG)</f>
        <v>106.18150315589321</v>
      </c>
      <c r="C87" s="0" cm="1">
        <f ref="C87:C87" t="array">DWS_N*_PO.ESP.Curve.HeadAtSpeed(A87,DWS_F,DWS_Fbase,DWS_CurveQ,DWS_CurveH)</f>
        <v>1897.3104420743064</v>
      </c>
      <c r="D87" s="0">
        <f>C87-B87</f>
        <v>1791.128938918413</v>
      </c>
      <c r="E87" s="0" t="str">
        <f>IF(AND(D87&gt;0,D88&lt;=0),A87+D87/(D87-D88)*(A88-A87),"")</f>
      </c>
    </row>
    <row r="88">
      <c r="A88" s="0">
        <f>DWS_GridTop*3/50</f>
        <v>330</v>
      </c>
      <c r="B88" s="0" cm="1">
        <f t="array" ref="B88">DWS_Hst+DWS_Kq*A88+PO.ESP.System.Hfric(A88,DWS_FlowID,DWS_FlowL,DWS_SG)</f>
        <v>159.62336101597828</v>
      </c>
      <c r="C88" s="0" cm="1">
        <f ref="C88:C88" t="array">DWS_N*_PO.ESP.Curve.HeadAtSpeed(A88,DWS_F,DWS_Fbase,DWS_CurveQ,DWS_CurveH)</f>
        <v>1899.0278486514676</v>
      </c>
      <c r="D88" s="0">
        <f>C88-B88</f>
        <v>1739.4044876354892</v>
      </c>
      <c r="E88" s="0" t="str">
        <f>IF(AND(D88&gt;0,D89&lt;=0),A88+D88/(D88-D89)*(A89-A88),"")</f>
      </c>
    </row>
    <row r="89">
      <c r="A89" s="0">
        <f>DWS_GridTop*4/50</f>
        <v>440</v>
      </c>
      <c r="B89" s="0" cm="1">
        <f t="array" ref="B89">DWS_Hst+DWS_Kq*A89+PO.ESP.System.Hfric(A89,DWS_FlowID,DWS_FlowL,DWS_SG)</f>
        <v>213.06840767796663</v>
      </c>
      <c r="C89" s="0" cm="1">
        <f ref="C89:C89" t="array">DWS_N*_PO.ESP.Curve.HeadAtSpeed(A89,DWS_F,DWS_Fbase,DWS_CurveQ,DWS_CurveH)</f>
        <v>1899.3296405749081</v>
      </c>
      <c r="D89" s="0">
        <f>C89-B89</f>
        <v>1686.2612328969415</v>
      </c>
      <c r="E89" s="0" t="str">
        <f>IF(AND(D89&gt;0,D90&lt;=0),A89+D89/(D89-D90)*(A90-A89),"")</f>
      </c>
    </row>
    <row r="90">
      <c r="A90" s="0">
        <f>DWS_GridTop*5/50</f>
        <v>550</v>
      </c>
      <c r="B90" s="0" cm="1">
        <f t="array" ref="B90">DWS_Hst+DWS_Kq*A90+PO.ESP.System.Hfric(A90,DWS_FlowID,DWS_FlowL,DWS_SG)</f>
        <v>266.5165062456874</v>
      </c>
      <c r="C90" s="0" cm="1">
        <f ref="C90:C90" t="array">DWS_N*_PO.ESP.Curve.HeadAtSpeed(A90,DWS_F,DWS_Fbase,DWS_CurveQ,DWS_CurveH)</f>
        <v>1897.7576441480371</v>
      </c>
      <c r="D90" s="0">
        <f>C90-B90</f>
        <v>1631.2411379023497</v>
      </c>
      <c r="E90" s="0" t="str">
        <f>IF(AND(D90&gt;0,D91&lt;=0),A90+D90/(D90-D91)*(A91-A90),"")</f>
      </c>
    </row>
    <row r="91">
      <c r="A91" s="0">
        <f>DWS_GridTop*6/50</f>
        <v>660</v>
      </c>
      <c r="B91" s="0" cm="1">
        <f t="array" ref="B91">DWS_Hst+DWS_Kq*A91+PO.ESP.System.Hfric(A91,DWS_FlowID,DWS_FlowL,DWS_SG)</f>
        <v>319.967555281365</v>
      </c>
      <c r="C91" s="0" cm="1">
        <f ref="C91:C91" t="array">DWS_N*_PO.ESP.Curve.HeadAtSpeed(A91,DWS_F,DWS_Fbase,DWS_CurveQ,DWS_CurveH)</f>
        <v>1894.179214287998</v>
      </c>
      <c r="D91" s="0">
        <f>C91-B91</f>
        <v>1574.211659006633</v>
      </c>
      <c r="E91" s="0" t="str">
        <f>IF(AND(D91&gt;0,D92&lt;=0),A91+D91/(D91-D92)*(A92-A91),"")</f>
      </c>
    </row>
    <row r="92">
      <c r="A92" s="0">
        <f>DWS_GridTop*7/50</f>
        <v>770</v>
      </c>
      <c r="B92" s="0" cm="1">
        <f t="array" ref="B92">DWS_Hst+DWS_Kq*A92+PO.ESP.System.Hfric(A92,DWS_FlowID,DWS_FlowL,DWS_SG)</f>
        <v>373.4214746763167</v>
      </c>
      <c r="C92" s="0" cm="1">
        <f ref="C92:C92" t="array">DWS_N*_PO.ESP.Curve.HeadAtSpeed(A92,DWS_F,DWS_Fbase,DWS_CurveQ,DWS_CurveH)</f>
        <v>1888.7931642625754</v>
      </c>
      <c r="D92" s="0">
        <f>C92-B92</f>
        <v>1515.3716895862588</v>
      </c>
      <c r="E92" s="0" t="str">
        <f>IF(AND(D92&gt;0,D93&lt;=0),A92+D92/(D92-D93)*(A93-A92),"")</f>
      </c>
    </row>
    <row r="93">
      <c r="A93" s="0">
        <f>DWS_GridTop*8/50</f>
        <v>880</v>
      </c>
      <c r="B93" s="0" cm="1">
        <f t="array" ref="B93">DWS_Hst+DWS_Kq*A93+PO.ESP.System.Hfric(A93,DWS_FlowID,DWS_FlowL,DWS_SG)</f>
        <v>426.8781985215255</v>
      </c>
      <c r="C93" s="0" cm="1">
        <f ref="C93:C93" t="array">DWS_N*_PO.ESP.Curve.HeadAtSpeed(A93,DWS_F,DWS_Fbase,DWS_CurveQ,DWS_CurveH)</f>
        <v>1881.813191262733</v>
      </c>
      <c r="D93" s="0">
        <f>C93-B93</f>
        <v>1454.9349927412075</v>
      </c>
      <c r="E93" s="0" t="str">
        <f>IF(AND(D93&gt;0,D94&lt;=0),A93+D93/(D93-D94)*(A94-A93),"")</f>
      </c>
    </row>
    <row r="94">
      <c r="A94" s="0">
        <f>DWS_GridTop*9/50</f>
        <v>990</v>
      </c>
      <c r="B94" s="0" cm="1">
        <f t="array" ref="B94">DWS_Hst+DWS_Kq*A94+PO.ESP.System.Hfric(A94,DWS_FlowID,DWS_FlowL,DWS_SG)</f>
        <v>480.3376710129878</v>
      </c>
      <c r="C94" s="0" cm="1">
        <f ref="C94:C94" t="array">DWS_N*_PO.ESP.Curve.HeadAtSpeed(A94,DWS_F,DWS_Fbase,DWS_CurveQ,DWS_CurveH)</f>
        <v>1873.4529924794351</v>
      </c>
      <c r="D94" s="0">
        <f>C94-B94</f>
        <v>1393.1153214664473</v>
      </c>
      <c r="E94" s="0" t="str">
        <f>IF(AND(D94&gt;0,D95&lt;=0),A94+D94/(D94-D95)*(A95-A94),"")</f>
      </c>
    </row>
    <row r="95">
      <c r="A95" s="0">
        <f>DWS_GridTop*10/50</f>
        <v>1100</v>
      </c>
      <c r="B95" s="0" cm="1">
        <f t="array" ref="B95">DWS_Hst+DWS_Kq*A95+PO.ESP.System.Hfric(A95,DWS_FlowID,DWS_FlowL,DWS_SG)</f>
        <v>533.7998438874989</v>
      </c>
      <c r="C95" s="0" cm="1">
        <f ref="C95:C95" t="array">DWS_N*_PO.ESP.Curve.HeadAtSpeed(A95,DWS_F,DWS_Fbase,DWS_CurveQ,DWS_CurveH)</f>
        <v>1863.8690083898866</v>
      </c>
      <c r="D95" s="0">
        <f>C95-B95</f>
        <v>1330.0691645023876</v>
      </c>
      <c r="E95" s="0" t="str">
        <f>IF(AND(D95&gt;0,D96&lt;=0),A95+D95/(D95-D96)*(A96-A95),"")</f>
      </c>
    </row>
    <row r="96">
      <c r="A96" s="0">
        <f>DWS_GridTop*11/50</f>
        <v>1210</v>
      </c>
      <c r="B96" s="0" cm="1">
        <f t="array" ref="B96">DWS_Hst+DWS_Kq*A96+PO.ESP.System.Hfric(A96,DWS_FlowID,DWS_FlowL,DWS_SG)</f>
        <v>587.2646747133966</v>
      </c>
      <c r="C96" s="0" cm="1">
        <f ref="C96:C96" t="array">DWS_N*_PO.ESP.Curve.HeadAtSpeed(A96,DWS_F,DWS_Fbase,DWS_CurveQ,DWS_CurveH)</f>
        <v>1852.9789424888131</v>
      </c>
      <c r="D96" s="0">
        <f>C96-B96</f>
        <v>1265.7142677754164</v>
      </c>
      <c r="E96" s="0" t="str">
        <f>IF(AND(D96&gt;0,D97&lt;=0),A96+D96/(D96-D97)*(A97-A96),"")</f>
      </c>
    </row>
    <row r="97">
      <c r="A97" s="0">
        <f>DWS_GridTop*12/50</f>
        <v>1320</v>
      </c>
      <c r="B97" s="0" cm="1">
        <f t="array" ref="B97">DWS_Hst+DWS_Kq*A97+PO.ESP.System.Hfric(A97,DWS_FlowID,DWS_FlowL,DWS_SG)</f>
        <v>640.732125695916</v>
      </c>
      <c r="C97" s="0" cm="1">
        <f ref="C97:C97" t="array">DWS_N*_PO.ESP.Curve.HeadAtSpeed(A97,DWS_F,DWS_Fbase,DWS_CurveQ,DWS_CurveH)</f>
        <v>1840.6382844513207</v>
      </c>
      <c r="D97" s="0">
        <f>C97-B97</f>
        <v>1199.9061587554047</v>
      </c>
      <c r="E97" s="0" t="str">
        <f>IF(AND(D97&gt;0,D98&lt;=0),A97+D97/(D97-D98)*(A98-A97),"")</f>
      </c>
    </row>
    <row r="98">
      <c r="A98" s="0">
        <f>DWS_GridTop*13/50</f>
        <v>1430</v>
      </c>
      <c r="B98" s="0" cm="1">
        <f t="array" ref="B98">DWS_Hst+DWS_Kq*A98+PO.ESP.System.Hfric(A98,DWS_FlowID,DWS_FlowL,DWS_SG)</f>
        <v>694.2021628105049</v>
      </c>
      <c r="C98" s="0" cm="1">
        <f ref="C98:C98" t="array">DWS_N*_PO.ESP.Curve.HeadAtSpeed(A98,DWS_F,DWS_Fbase,DWS_CurveQ,DWS_CurveH)</f>
        <v>1826.7025237942637</v>
      </c>
      <c r="D98" s="0">
        <f>C98-B98</f>
        <v>1132.5003609837588</v>
      </c>
      <c r="E98" s="0" t="str">
        <f>IF(AND(D98&gt;0,D99&lt;=0),A98+D98/(D98-D99)*(A99-A98),"")</f>
      </c>
    </row>
    <row r="99">
      <c r="A99" s="0">
        <f>DWS_GridTop*14/50</f>
        <v>1540</v>
      </c>
      <c r="B99" s="0" cm="1">
        <f t="array" ref="B99">DWS_Hst+DWS_Kq*A99+PO.ESP.System.Hfric(A99,DWS_FlowID,DWS_FlowL,DWS_SG)</f>
        <v>747.6747551548278</v>
      </c>
      <c r="C99" s="0" cm="1">
        <f ref="C99:C99" t="array">DWS_N*_PO.ESP.Curve.HeadAtSpeed(A99,DWS_F,DWS_Fbase,DWS_CurveQ,DWS_CurveH)</f>
        <v>1811.0321113226744</v>
      </c>
      <c r="D99" s="0">
        <f>C99-B99</f>
        <v>1063.3573561678465</v>
      </c>
      <c r="E99" s="0" t="str">
        <f>IF(AND(D99&gt;0,D100&lt;=0),A99+D99/(D99-D100)*(A100-A99),"")</f>
      </c>
    </row>
    <row r="100">
      <c r="A100" s="0">
        <f>DWS_GridTop*15/50</f>
        <v>1650</v>
      </c>
      <c r="B100" s="0" cm="1">
        <f t="array" ref="B100">DWS_Hst+DWS_Kq*A100+PO.ESP.System.Hfric(A100,DWS_FlowID,DWS_FlowL,DWS_SG)</f>
        <v>801.149874452061</v>
      </c>
      <c r="C100" s="0" cm="1">
        <f ref="C100:C100" t="array">DWS_N*_PO.ESP.Curve.HeadAtSpeed(A100,DWS_F,DWS_Fbase,DWS_CurveQ,DWS_CurveH)</f>
        <v>1793.6135508704376</v>
      </c>
      <c r="D100" s="0">
        <f>C100-B100</f>
        <v>992.4636764183766</v>
      </c>
      <c r="E100" s="0" t="str">
        <f>IF(AND(D100&gt;0,D101&lt;=0),A100+D100/(D100-D101)*(A101-A100),"")</f>
      </c>
    </row>
    <row r="101">
      <c r="A101" s="0">
        <f>DWS_GridTop*16/50</f>
        <v>1760</v>
      </c>
      <c r="B101" s="0" cm="1">
        <f t="array" ref="B101">DWS_Hst+DWS_Kq*A101+PO.ESP.System.Hfric(A101,DWS_FlowID,DWS_FlowL,DWS_SG)</f>
        <v>854.6274946621062</v>
      </c>
      <c r="C101" s="0" cm="1">
        <f ref="C101:C101" t="array">DWS_N*_PO.ESP.Curve.HeadAtSpeed(A101,DWS_F,DWS_Fbase,DWS_CurveQ,DWS_CurveH)</f>
        <v>1774.5664147759935</v>
      </c>
      <c r="D101" s="0">
        <f>C101-B101</f>
        <v>919.9389201138873</v>
      </c>
      <c r="E101" s="0" t="str">
        <f>IF(AND(D101&gt;0,D102&lt;=0),A101+D101/(D101-D102)*(A102-A101),"")</f>
      </c>
    </row>
    <row r="102">
      <c r="A102" s="0">
        <f>DWS_GridTop*17/50</f>
        <v>1870</v>
      </c>
      <c r="B102" s="0" cm="1">
        <f t="array" ref="B102">DWS_Hst+DWS_Kq*A102+PO.ESP.System.Hfric(A102,DWS_FlowID,DWS_FlowL,DWS_SG)</f>
        <v>908.107591671797</v>
      </c>
      <c r="C102" s="0" cm="1">
        <f ref="C102:C102" t="array">DWS_N*_PO.ESP.Curve.HeadAtSpeed(A102,DWS_F,DWS_Fbase,DWS_CurveQ,DWS_CurveH)</f>
        <v>1754.0166410514898</v>
      </c>
      <c r="D102" s="0">
        <f>C102-B102</f>
        <v>845.9090493796929</v>
      </c>
      <c r="E102" s="0" t="str">
        <f>IF(AND(D102&gt;0,D103&lt;=0),A102+D102/(D102-D103)*(A103-A102),"")</f>
      </c>
    </row>
    <row r="103">
      <c r="A103" s="0">
        <f>DWS_GridTop*18/50</f>
        <v>1980</v>
      </c>
      <c r="B103" s="0" cm="1">
        <f t="array" ref="B103">DWS_Hst+DWS_Kq*A103+PO.ESP.System.Hfric(A103,DWS_FlowID,DWS_FlowL,DWS_SG)</f>
        <v>961.5901430442144</v>
      </c>
      <c r="C103" s="0" cm="1">
        <f ref="C103:C103" t="array">DWS_N*_PO.ESP.Curve.HeadAtSpeed(A103,DWS_F,DWS_Fbase,DWS_CurveQ,DWS_CurveH)</f>
        <v>1732.0901677090735</v>
      </c>
      <c r="D103" s="0">
        <f>C103-B103</f>
        <v>770.5000246648591</v>
      </c>
      <c r="E103" s="0" t="str">
        <f>IF(AND(D103&gt;0,D104&lt;=0),A103+D103/(D103-D104)*(A104-A103),"")</f>
      </c>
    </row>
    <row r="104">
      <c r="A104" s="0">
        <f>DWS_GridTop*19/50</f>
        <v>2090</v>
      </c>
      <c r="B104" s="0" cm="1">
        <f t="array" ref="B104">DWS_Hst+DWS_Kq*A104+PO.ESP.System.Hfric(A104,DWS_FlowID,DWS_FlowL,DWS_SG)</f>
        <v>1015.0751278130947</v>
      </c>
      <c r="C104" s="0" cm="1">
        <f ref="C104:C104" t="array">DWS_N*_PO.ESP.Curve.HeadAtSpeed(A104,DWS_F,DWS_Fbase,DWS_CurveQ,DWS_CurveH)</f>
        <v>1708.875125512917</v>
      </c>
      <c r="D104" s="0">
        <f>C104-B104</f>
        <v>693.7999976998224</v>
      </c>
      <c r="E104" s="0" t="str">
        <f>IF(AND(D104&gt;0,D105&lt;=0),A104+D104/(D104-D105)*(A105-A104),"")</f>
      </c>
    </row>
    <row r="105">
      <c r="A105" s="0">
        <f>DWS_GridTop*20/50</f>
        <v>2200</v>
      </c>
      <c r="B105" s="0" cm="1">
        <f t="array" ref="B105">DWS_Hst+DWS_Kq*A105+PO.ESP.System.Hfric(A105,DWS_FlowID,DWS_FlowL,DWS_SG)</f>
        <v>1068.5625263122106</v>
      </c>
      <c r="C105" s="0" cm="1">
        <f ref="C105:C105" t="array">DWS_N*_PO.ESP.Curve.HeadAtSpeed(A105,DWS_F,DWS_Fbase,DWS_CurveQ,DWS_CurveH)</f>
        <v>1684.2953164385187</v>
      </c>
      <c r="D105" s="0">
        <f>C105-B105</f>
        <v>615.7327901263081</v>
      </c>
      <c r="E105" s="0" t="str">
        <f>IF(AND(D105&gt;0,D106&lt;=0),A105+D105/(D105-D106)*(A106-A105),"")</f>
      </c>
    </row>
    <row r="106">
      <c r="A106" s="0">
        <f>DWS_GridTop*21/50</f>
        <v>2310</v>
      </c>
      <c r="B106" s="0" cm="1">
        <f t="array" ref="B106">DWS_Hst+DWS_Kq*A106+PO.ESP.System.Hfric(A106,DWS_FlowID,DWS_FlowL,DWS_SG)</f>
        <v>1122.0523200322862</v>
      </c>
      <c r="C106" s="0" cm="1">
        <f ref="C106:C106" t="array">DWS_N*_PO.ESP.Curve.HeadAtSpeed(A106,DWS_F,DWS_Fbase,DWS_CurveQ,DWS_CurveH)</f>
        <v>1658.2299065220718</v>
      </c>
      <c r="D106" s="0">
        <f>C106-B106</f>
        <v>536.1775864897857</v>
      </c>
      <c r="E106" s="0" t="str">
        <f>IF(AND(D106&gt;0,D107&lt;=0),A106+D106/(D106-D107)*(A107-A106),"")</f>
      </c>
    </row>
    <row r="107">
      <c r="A107" s="0">
        <f>DWS_GridTop*22/50</f>
        <v>2420</v>
      </c>
      <c r="B107" s="0" cm="1">
        <f t="array" ref="B107">DWS_Hst+DWS_Kq*A107+PO.ESP.System.Hfric(A107,DWS_FlowID,DWS_FlowL,DWS_SG)</f>
        <v>1175.5444914998739</v>
      </c>
      <c r="C107" s="0" cm="1">
        <f ref="C107:C107" t="array">DWS_N*_PO.ESP.Curve.HeadAtSpeed(A107,DWS_F,DWS_Fbase,DWS_CurveQ,DWS_CurveH)</f>
        <v>1630.5580609276028</v>
      </c>
      <c r="D107" s="0">
        <f>C107-B107</f>
        <v>455.01356942772895</v>
      </c>
      <c r="E107" s="0" t="str">
        <f>IF(AND(D107&gt;0,D108&lt;=0),A107+D107/(D107-D108)*(A108-A107),"")</f>
      </c>
    </row>
    <row r="108">
      <c r="A108" s="0">
        <f>DWS_GridTop*23/50</f>
        <v>2530</v>
      </c>
      <c r="B108" s="0" cm="1">
        <f t="array" ref="B108">DWS_Hst+DWS_Kq*A108+PO.ESP.System.Hfric(A108,DWS_FlowID,DWS_FlowL,DWS_SG)</f>
        <v>1229.0390241739565</v>
      </c>
      <c r="C108" s="0" cm="1">
        <f ref="C108:C108" t="array">DWS_N*_PO.ESP.Curve.HeadAtSpeed(A108,DWS_F,DWS_Fbase,DWS_CurveQ,DWS_CurveH)</f>
        <v>1601.1629741574598</v>
      </c>
      <c r="D108" s="0">
        <f>C108-B108</f>
        <v>372.1239499835033</v>
      </c>
      <c r="E108" s="0" t="str">
        <f>IF(AND(D108&gt;0,D109&lt;=0),A108+D108/(D108-D109)*(A109-A108),"")</f>
      </c>
    </row>
    <row r="109">
      <c r="A109" s="0">
        <f>DWS_GridTop*24/50</f>
        <v>2640</v>
      </c>
      <c r="B109" s="0" cm="1">
        <f t="array" ref="B109">DWS_Hst+DWS_Kq*A109+PO.ESP.System.Hfric(A109,DWS_FlowID,DWS_FlowL,DWS_SG)</f>
        <v>1282.5359023570065</v>
      </c>
      <c r="C109" s="0" cm="1">
        <f ref="C109:C109" t="array">DWS_N*_PO.ESP.Curve.HeadAtSpeed(A109,DWS_F,DWS_Fbase,DWS_CurveQ,DWS_CurveH)</f>
        <v>1570.0375060476392</v>
      </c>
      <c r="D109" s="0">
        <f>C109-B109</f>
        <v>287.5016036906327</v>
      </c>
      <c r="E109" s="0" t="str">
        <f>IF(AND(D109&gt;0,D110&lt;=0),A109+D109/(D109-D110)*(A110-A109),"")</f>
      </c>
    </row>
    <row r="110">
      <c r="A110" s="0">
        <f>DWS_GridTop*25/50</f>
        <v>2750</v>
      </c>
      <c r="B110" s="0" cm="1">
        <f t="array" ref="B110">DWS_Hst+DWS_Kq*A110+PO.ESP.System.Hfric(A110,DWS_FlowID,DWS_FlowL,DWS_SG)</f>
        <v>1336.035111117952</v>
      </c>
      <c r="C110" s="0" cm="1">
        <f ref="C110:C110" t="array">DWS_N*_PO.ESP.Curve.HeadAtSpeed(A110,DWS_F,DWS_Fbase,DWS_CurveQ,DWS_CurveH)</f>
        <v>1537.2945440983249</v>
      </c>
      <c r="D110" s="0">
        <f>C110-B110</f>
        <v>201.25943298037282</v>
      </c>
      <c r="E110" s="0" t="str">
        <f>IF(AND(D110&gt;0,D111&lt;=0),A110+D110/(D110-D111)*(A111-A110),"")</f>
      </c>
    </row>
    <row r="111">
      <c r="A111" s="0">
        <f>DWS_GridTop*26/50</f>
        <v>2860</v>
      </c>
      <c r="B111" s="0" cm="1">
        <f t="array" ref="B111">DWS_Hst+DWS_Kq*A111+PO.ESP.System.Hfric(A111,DWS_FlowID,DWS_FlowL,DWS_SG)</f>
        <v>1389.5366362250356</v>
      </c>
      <c r="C111" s="0" cm="1">
        <f ref="C111:C111" t="array">DWS_N*_PO.ESP.Curve.HeadAtSpeed(A111,DWS_F,DWS_Fbase,DWS_CurveQ,DWS_CurveH)</f>
        <v>1503.053082911792</v>
      </c>
      <c r="D111" s="0">
        <f>C111-B111</f>
        <v>113.51644668675635</v>
      </c>
      <c r="E111" s="0" t="str">
        <f>IF(AND(D111&gt;0,D112&lt;=0),A111+D111/(D111-D112)*(A112-A111),"")</f>
      </c>
    </row>
    <row r="112">
      <c r="A112" s="0">
        <f>DWS_GridTop*27/50</f>
        <v>2970</v>
      </c>
      <c r="B112" s="0" cm="1">
        <f t="array" ref="B112">DWS_Hst+DWS_Kq*A112+PO.ESP.System.Hfric(A112,DWS_FlowID,DWS_FlowL,DWS_SG)</f>
        <v>1443.0404640869533</v>
      </c>
      <c r="C112" s="0" cm="1">
        <f ref="C112:C112" t="array">DWS_N*_PO.ESP.Curve.HeadAtSpeed(A112,DWS_F,DWS_Fbase,DWS_CurveQ,DWS_CurveH)</f>
        <v>1467.4321170903156</v>
      </c>
      <c r="D112" s="0">
        <f>C112-B112</f>
        <v>24.391653003362308</v>
      </c>
      <c r="E112" s="0">
        <f>IF(AND(D112&gt;0,D113&lt;=0),A112+D112/(D112-D113)*(A113-A112),"")</f>
        <v>2999.672825511469</v>
      </c>
    </row>
    <row r="113">
      <c r="A113" s="0">
        <f>DWS_GridTop*28/50</f>
        <v>3080</v>
      </c>
      <c r="B113" s="0" cm="1">
        <f t="array" ref="B113">DWS_Hst+DWS_Kq*A113+PO.ESP.System.Hfric(A113,DWS_FlowID,DWS_FlowL,DWS_SG)</f>
        <v>1496.5465817009838</v>
      </c>
      <c r="C113" s="0" cm="1">
        <f ref="C113:C113" t="array">DWS_N*_PO.ESP.Curve.HeadAtSpeed(A113,DWS_F,DWS_Fbase,DWS_CurveQ,DWS_CurveH)</f>
        <v>1430.516045913029</v>
      </c>
      <c r="D113" s="0">
        <f>C113-B113</f>
        <v>-66.0305357879547</v>
      </c>
      <c r="E113" s="0" t="str">
        <f>IF(AND(D113&gt;0,D114&lt;=0),A113+D113/(D113-D114)*(A114-A113),"")</f>
      </c>
    </row>
    <row r="114">
      <c r="A114" s="0">
        <f>DWS_GridTop*29/50</f>
        <v>3190</v>
      </c>
      <c r="B114" s="0" cm="1">
        <f t="array" ref="B114">DWS_Hst+DWS_Kq*A114+PO.ESP.System.Hfric(A114,DWS_FlowID,DWS_FlowL,DWS_SG)</f>
        <v>1550.0549766070496</v>
      </c>
      <c r="C114" s="0" cm="1">
        <f ref="C114:C114" t="array">DWS_N*_PO.ESP.Curve.HeadAtSpeed(A114,DWS_F,DWS_Fbase,DWS_CurveQ,DWS_CurveH)</f>
        <v>1392.2325122779278</v>
      </c>
      <c r="D114" s="0">
        <f>C114-B114</f>
        <v>-157.82246432912189</v>
      </c>
      <c r="E114" s="0" t="str">
        <f>IF(AND(D114&gt;0,D115&lt;=0),A114+D114/(D114-D115)*(A115-A114),"")</f>
      </c>
    </row>
    <row r="115">
      <c r="A115" s="0">
        <f>DWS_GridTop*30/50</f>
        <v>3300</v>
      </c>
      <c r="B115" s="0" cm="1">
        <f t="array" ref="B115">DWS_Hst+DWS_Kq*A115+PO.ESP.System.Hfric(A115,DWS_FlowID,DWS_FlowL,DWS_SG)</f>
        <v>1603.5656368468494</v>
      </c>
      <c r="C115" s="0" cm="1">
        <f ref="C115:C115" t="array">DWS_N*_PO.ESP.Curve.HeadAtSpeed(A115,DWS_F,DWS_Fbase,DWS_CurveQ,DWS_CurveH)</f>
        <v>1352.464782153211</v>
      </c>
      <c r="D115" s="0">
        <f>C115-B115</f>
        <v>-251.10085469363844</v>
      </c>
      <c r="E115" s="0" t="str">
        <f>IF(AND(D115&gt;0,D116&lt;=0),A115+D115/(D115-D116)*(A116-A115),"")</f>
      </c>
    </row>
    <row r="116">
      <c r="A116" s="0">
        <f>DWS_GridTop*31/50</f>
        <v>3410</v>
      </c>
      <c r="B116" s="0" cm="1">
        <f t="array" ref="B116">DWS_Hst+DWS_Kq*A116+PO.ESP.System.Hfric(A116,DWS_FlowID,DWS_FlowL,DWS_SG)</f>
        <v>1657.0785509273476</v>
      </c>
      <c r="C116" s="0" cm="1">
        <f ref="C116:C116" t="array">DWS_N*_PO.ESP.Curve.HeadAtSpeed(A116,DWS_F,DWS_Fbase,DWS_CurveQ,DWS_CurveH)</f>
        <v>1311.0961186952218</v>
      </c>
      <c r="D116" s="0">
        <f>C116-B116</f>
        <v>-345.9824322321258</v>
      </c>
      <c r="E116" s="0" t="str">
        <f>IF(AND(D116&gt;0,D117&lt;=0),A116+D116/(D116-D117)*(A117-A116),"")</f>
      </c>
    </row>
    <row r="117">
      <c r="A117" s="0">
        <f>DWS_GridTop*32/50</f>
        <v>3520</v>
      </c>
      <c r="B117" s="0" cm="1">
        <f t="array" ref="B117">DWS_Hst+DWS_Kq*A117+PO.ESP.System.Hfric(A117,DWS_FlowID,DWS_FlowL,DWS_SG)</f>
        <v>1710.5937077880305</v>
      </c>
      <c r="C117" s="0" cm="1">
        <f ref="C117:C117" t="array">DWS_N*_PO.ESP.Curve.HeadAtSpeed(A117,DWS_F,DWS_Fbase,DWS_CurveQ,DWS_CurveH)</f>
        <v>1268.0132576358083</v>
      </c>
      <c r="D117" s="0">
        <f>C117-B117</f>
        <v>-442.5804501522223</v>
      </c>
      <c r="E117" s="0" t="str">
        <f>IF(AND(D117&gt;0,D118&lt;=0),A117+D117/(D117-D118)*(A118-A117),"")</f>
      </c>
    </row>
    <row r="118">
      <c r="A118" s="0">
        <f>DWS_GridTop*33/50</f>
        <v>3630</v>
      </c>
      <c r="B118" s="0" cm="1">
        <f t="array" ref="B118">DWS_Hst+DWS_Kq*A118+PO.ESP.System.Hfric(A118,DWS_FlowID,DWS_FlowL,DWS_SG)</f>
        <v>1764.1110967714333</v>
      </c>
      <c r="C118" s="0" cm="1">
        <f ref="C118:C118" t="array">DWS_N*_PO.ESP.Curve.HeadAtSpeed(A118,DWS_F,DWS_Fbase,DWS_CurveQ,DWS_CurveH)</f>
        <v>1223.2043915745828</v>
      </c>
      <c r="D118" s="0">
        <f>C118-B118</f>
        <v>-540.9067051968505</v>
      </c>
      <c r="E118" s="0" t="str">
        <f>IF(AND(D118&gt;0,D119&lt;=0),A118+D118/(D118-D119)*(A119-A118),"")</f>
      </c>
    </row>
    <row r="119">
      <c r="A119" s="0">
        <f>DWS_GridTop*34/50</f>
        <v>3740</v>
      </c>
      <c r="B119" s="0" cm="1">
        <f t="array" ref="B119">DWS_Hst+DWS_Kq*A119+PO.ESP.System.Hfric(A119,DWS_FlowID,DWS_FlowL,DWS_SG)</f>
        <v>1817.6307075965167</v>
      </c>
      <c r="C119" s="0" cm="1">
        <f ref="C119:C119" t="array">DWS_N*_PO.ESP.Curve.HeadAtSpeed(A119,DWS_F,DWS_Fbase,DWS_CurveQ,DWS_CurveH)</f>
        <v>1176.7728452158467</v>
      </c>
      <c r="D119" s="0">
        <f>C119-B119</f>
        <v>-640.85786238067</v>
      </c>
      <c r="E119" s="0" t="str">
        <f>IF(AND(D119&gt;0,D120&lt;=0),A119+D119/(D119-D120)*(A120-A119),"")</f>
      </c>
    </row>
    <row r="120">
      <c r="A120" s="0">
        <f>DWS_GridTop*35/50</f>
        <v>3850</v>
      </c>
      <c r="B120" s="0" cm="1">
        <f t="array" ref="B120">DWS_Hst+DWS_Kq*A120+PO.ESP.System.Hfric(A120,DWS_FlowID,DWS_FlowL,DWS_SG)</f>
        <v>1871.1525303345472</v>
      </c>
      <c r="C120" s="0" cm="1">
        <f ref="C120:C120" t="array">DWS_N*_PO.ESP.Curve.HeadAtSpeed(A120,DWS_F,DWS_Fbase,DWS_CurveQ,DWS_CurveH)</f>
        <v>1128.828164602481</v>
      </c>
      <c r="D120" s="0">
        <f>C120-B120</f>
        <v>-742.3243657320663</v>
      </c>
      <c r="E120" s="0" t="str">
        <f>IF(AND(D120&gt;0,D121&lt;=0),A120+D120/(D120-D121)*(A121-A120),"")</f>
      </c>
    </row>
    <row r="121">
      <c r="A121" s="0">
        <f>DWS_GridTop*36/50</f>
        <v>3960</v>
      </c>
      <c r="B121" s="0" cm="1">
        <f t="array" ref="B121">DWS_Hst+DWS_Kq*A121+PO.ESP.System.Hfric(A121,DWS_FlowID,DWS_FlowL,DWS_SG)</f>
        <v>1924.6765553871746</v>
      </c>
      <c r="C121" s="0" cm="1">
        <f ref="C121:C121" t="array">DWS_N*_PO.ESP.Curve.HeadAtSpeed(A121,DWS_F,DWS_Fbase,DWS_CurveQ,DWS_CurveH)</f>
        <v>1079.4798957773676</v>
      </c>
      <c r="D121" s="0">
        <f>C121-B121</f>
        <v>-845.196659609807</v>
      </c>
      <c r="E121" s="0" t="str">
        <f>IF(AND(D121&gt;0,D122&lt;=0),A121+D121/(D121-D122)*(A122-A121),"")</f>
      </c>
    </row>
    <row r="122">
      <c r="A122" s="0">
        <f>DWS_GridTop*37/50</f>
        <v>4070</v>
      </c>
      <c r="B122" s="0" cm="1">
        <f t="array" ref="B122">DWS_Hst+DWS_Kq*A122+PO.ESP.System.Hfric(A122,DWS_FlowID,DWS_FlowL,DWS_SG)</f>
        <v>1978.202773466453</v>
      </c>
      <c r="C122" s="0" cm="1">
        <f ref="C122:C122" t="array">DWS_N*_PO.ESP.Curve.HeadAtSpeed(A122,DWS_F,DWS_Fbase,DWS_CurveQ,DWS_CurveH)</f>
        <v>1028.81052797601</v>
      </c>
      <c r="D122" s="0">
        <f>C122-B122</f>
        <v>-949.392245490443</v>
      </c>
      <c r="E122" s="0" t="str">
        <f>IF(AND(D122&gt;0,D123&lt;=0),A122+D122/(D122-D123)*(A123-A122),"")</f>
      </c>
    </row>
    <row r="123">
      <c r="A123" s="0">
        <f>DWS_GridTop*38/50</f>
        <v>4180</v>
      </c>
      <c r="B123" s="0" cm="1">
        <f t="array" ref="B123">DWS_Hst+DWS_Kq*A123+PO.ESP.System.Hfric(A123,DWS_FlowID,DWS_FlowL,DWS_SG)</f>
        <v>2031.7311755765838</v>
      </c>
      <c r="C123" s="0" cm="1">
        <f ref="C123:C123" t="array">DWS_N*_PO.ESP.Curve.HeadAtSpeed(A123,DWS_F,DWS_Fbase,DWS_CurveQ,DWS_CurveH)</f>
        <v>976.7747331890313</v>
      </c>
      <c r="D123" s="0">
        <f>C123-B123</f>
        <v>-1054.9564423875527</v>
      </c>
      <c r="E123" s="0" t="str">
        <f>IF(AND(D123&gt;0,D124&lt;=0),A123+D123/(D123-D124)*(A124-A123),"")</f>
      </c>
    </row>
    <row r="124">
      <c r="A124" s="0">
        <f>DWS_GridTop*39/50</f>
        <v>4290</v>
      </c>
      <c r="B124" s="0" cm="1">
        <f t="array" ref="B124">DWS_Hst+DWS_Kq*A124+PO.ESP.System.Hfric(A124,DWS_FlowID,DWS_FlowL,DWS_SG)</f>
        <v>2085.26175299719</v>
      </c>
      <c r="C124" s="0" cm="1">
        <f ref="C124:C124" t="array">DWS_N*_PO.ESP.Curve.HeadAtSpeed(A124,DWS_F,DWS_Fbase,DWS_CurveQ,DWS_CurveH)</f>
        <v>923.2894762632855</v>
      </c>
      <c r="D124" s="0">
        <f>C124-B124</f>
        <v>-1161.9722767339044</v>
      </c>
      <c r="E124" s="0" t="str">
        <f>IF(AND(D124&gt;0,D125&lt;=0),A124+D124/(D124-D125)*(A125-A124),"")</f>
      </c>
    </row>
    <row r="125">
      <c r="A125" s="0">
        <f>DWS_GridTop*40/50</f>
        <v>4400</v>
      </c>
      <c r="B125" s="0" cm="1">
        <f t="array" ref="B125">DWS_Hst+DWS_Kq*A125+PO.ESP.System.Hfric(A125,DWS_FlowID,DWS_FlowL,DWS_SG)</f>
        <v>2138.794497267958</v>
      </c>
      <c r="C125" s="0" cm="1">
        <f ref="C125:C125" t="array">DWS_N*_PO.ESP.Curve.HeadAtSpeed(A125,DWS_F,DWS_Fbase,DWS_CurveQ,DWS_CurveH)</f>
        <v>868.2717166003749</v>
      </c>
      <c r="D125" s="0">
        <f>C125-B125</f>
        <v>-1270.522780667583</v>
      </c>
      <c r="E125" s="0" t="str">
        <f>IF(AND(D125&gt;0,D126&lt;=0),A125+D125/(D125-D126)*(A126-A125),"")</f>
      </c>
    </row>
    <row r="126">
      <c r="A126" s="0">
        <f>DWS_GridTop*41/50</f>
        <v>4510</v>
      </c>
      <c r="B126" s="0" cm="1">
        <f t="array" ref="B126">DWS_Hst+DWS_Kq*A126+PO.ESP.System.Hfric(A126,DWS_FlowID,DWS_FlowL,DWS_SG)</f>
        <v>2192.3294001745016</v>
      </c>
      <c r="C126" s="0" cm="1">
        <f ref="C126:C126" t="array">DWS_N*_PO.ESP.Curve.HeadAtSpeed(A126,DWS_F,DWS_Fbase,DWS_CurveQ,DWS_CurveH)</f>
        <v>811.6393536239788</v>
      </c>
      <c r="D126" s="0">
        <f>C126-B126</f>
        <v>-1380.6900465505228</v>
      </c>
      <c r="E126" s="0" t="str">
        <f>IF(AND(D126&gt;0,D127&lt;=0),A126+D126/(D126-D127)*(A127-A126),"")</f>
      </c>
    </row>
    <row r="127">
      <c r="A127" s="0">
        <f>DWS_GridTop*42/50</f>
        <v>4620</v>
      </c>
      <c r="B127" s="0" cm="1">
        <f t="array" ref="B127">DWS_Hst+DWS_Kq*A127+PO.ESP.System.Hfric(A127,DWS_FlowID,DWS_FlowL,DWS_SG)</f>
        <v>2245.8664537353247</v>
      </c>
      <c r="C127" s="0" cm="1">
        <f ref="C127:C127" t="array">DWS_N*_PO.ESP.Curve.HeadAtSpeed(A127,DWS_F,DWS_Fbase,DWS_CurveQ,DWS_CurveH)</f>
        <v>753.3398361113298</v>
      </c>
      <c r="D127" s="0">
        <f>C127-B127</f>
        <v>-1492.526617623995</v>
      </c>
      <c r="E127" s="0" t="str">
        <f>IF(AND(D127&gt;0,D128&lt;=0),A127+D127/(D127-D128)*(A128-A127),"")</f>
      </c>
    </row>
    <row r="128">
      <c r="A128" s="0">
        <f>DWS_GridTop*43/50</f>
        <v>4730</v>
      </c>
      <c r="B128" s="0" cm="1">
        <f t="array" ref="B128">DWS_Hst+DWS_Kq*A128+PO.ESP.System.Hfric(A128,DWS_FlowID,DWS_FlowL,DWS_SG)</f>
        <v>2299.405650189772</v>
      </c>
      <c r="C128" s="0" cm="1">
        <f ref="C128:C128" t="array">DWS_N*_PO.ESP.Curve.HeadAtSpeed(A128,DWS_F,DWS_Fbase,DWS_CurveQ,DWS_CurveH)</f>
        <v>693.3553811972815</v>
      </c>
      <c r="D128" s="0">
        <f>C128-B128</f>
        <v>-1606.0502689924906</v>
      </c>
      <c r="E128" s="0" t="str">
        <f>IF(AND(D128&gt;0,D129&lt;=0),A128+D128/(D128-D129)*(A129-A128),"")</f>
      </c>
    </row>
    <row r="129">
      <c r="A129" s="0">
        <f>DWS_GridTop*44/50</f>
        <v>4840</v>
      </c>
      <c r="B129" s="0" cm="1">
        <f t="array" ref="B129">DWS_Hst+DWS_Kq*A129+PO.ESP.System.Hfric(A129,DWS_FlowID,DWS_FlowL,DWS_SG)</f>
        <v>2352.9469819868727</v>
      </c>
      <c r="C129" s="0" cm="1">
        <f ref="C129:C129" t="array">DWS_N*_PO.ESP.Curve.HeadAtSpeed(A129,DWS_F,DWS_Fbase,DWS_CurveQ,DWS_CurveH)</f>
        <v>631.6701985030755</v>
      </c>
      <c r="D129" s="0">
        <f>C129-B129</f>
        <v>-1721.2767834837973</v>
      </c>
      <c r="E129" s="0" t="str">
        <f>IF(AND(D129&gt;0,D130&lt;=0),A129+D129/(D129-D130)*(A130-A129),"")</f>
      </c>
    </row>
    <row r="130">
      <c r="A130" s="0">
        <f>DWS_GridTop*45/50</f>
        <v>4950</v>
      </c>
      <c r="B130" s="0" cm="1">
        <f t="array" ref="B130">DWS_Hst+DWS_Kq*A130+PO.ESP.System.Hfric(A130,DWS_FlowID,DWS_FlowL,DWS_SG)</f>
        <v>2406.4904417749904</v>
      </c>
      <c r="C130" s="0" cm="1">
        <f ref="C130:C130" t="array">DWS_N*_PO.ESP.Curve.HeadAtSpeed(A130,DWS_F,DWS_Fbase,DWS_CurveQ,DWS_CurveH)</f>
        <v>568.2684976499523</v>
      </c>
      <c r="D130" s="0">
        <f>C130-B130</f>
        <v>-1838.2219441250381</v>
      </c>
      <c r="E130" s="0" t="str">
        <f>IF(AND(D130&gt;0,D131&lt;=0),A130+D130/(D130-D131)*(A131-A130),"")</f>
      </c>
    </row>
    <row r="131">
      <c r="A131" s="0">
        <f>DWS_GridTop*46/50</f>
        <v>5060</v>
      </c>
      <c r="B131" s="0" cm="1">
        <f t="array" ref="B131">DWS_Hst+DWS_Kq*A131+PO.ESP.System.Hfric(A131,DWS_FlowID,DWS_FlowL,DWS_SG)</f>
        <v>2460.0360223922044</v>
      </c>
      <c r="C131" s="0" cm="1">
        <f ref="C131:C131" t="array">DWS_N*_PO.ESP.Curve.HeadAtSpeed(A131,DWS_F,DWS_Fbase,DWS_CurveQ,DWS_CurveH)</f>
        <v>503.1883046359743</v>
      </c>
      <c r="D131" s="0">
        <f>C131-B131</f>
        <v>-1956.84771775623</v>
      </c>
      <c r="E131" s="0" t="str">
        <f>IF(AND(D131&gt;0,D132&lt;=0),A131+D131/(D131-D132)*(A132-A131),"")</f>
      </c>
    </row>
    <row r="132">
      <c r="A132" s="0">
        <f>DWS_GridTop*47/50</f>
        <v>5170</v>
      </c>
      <c r="B132" s="0" cm="1">
        <f t="array" ref="B132">DWS_Hst+DWS_Kq*A132+PO.ESP.System.Hfric(A132,DWS_FlowID,DWS_FlowL,DWS_SG)</f>
        <v>2513.583716857356</v>
      </c>
      <c r="C132" s="0" cm="1">
        <f ref="C132:C132" t="array">DWS_N*_PO.ESP.Curve.HeadAtSpeed(A132,DWS_F,DWS_Fbase,DWS_CurveQ,DWS_CurveH)</f>
        <v>436.73272737286277</v>
      </c>
      <c r="D132" s="0">
        <f>C132-B132</f>
        <v>-2076.8509894844933</v>
      </c>
      <c r="E132" s="0" t="str">
        <f>IF(AND(D132&gt;0,D133&lt;=0),A132+D132/(D132-D133)*(A133-A132),"")</f>
      </c>
    </row>
    <row r="133">
      <c r="A133" s="0">
        <f>DWS_GridTop*48/50</f>
        <v>5280</v>
      </c>
      <c r="B133" s="0" cm="1">
        <f t="array" ref="B133">DWS_Hst+DWS_Kq*A133+PO.ESP.System.Hfric(A133,DWS_FlowID,DWS_FlowL,DWS_SG)</f>
        <v>2567.1335183617034</v>
      </c>
      <c r="C133" s="0" cm="1">
        <f ref="C133:C133" t="array">DWS_N*_PO.ESP.Curve.HeadAtSpeed(A133,DWS_F,DWS_Fbase,DWS_CurveQ,DWS_CurveH)</f>
        <v>369.2863525921818</v>
      </c>
      <c r="D133" s="0">
        <f>C133-B133</f>
        <v>-2197.847165769522</v>
      </c>
      <c r="E133" s="0" t="str">
        <f>IF(AND(D133&gt;0,D134&lt;=0),A133+D133/(D133-D134)*(A134-A133),"")</f>
      </c>
    </row>
    <row r="134">
      <c r="A134" s="0">
        <f>DWS_GridTop*49/50</f>
        <v>5390</v>
      </c>
      <c r="B134" s="0" cm="1">
        <f t="array" ref="B134">DWS_Hst+DWS_Kq*A134+PO.ESP.System.Hfric(A134,DWS_FlowID,DWS_FlowL,DWS_SG)</f>
        <v>2620.685420261124</v>
      </c>
      <c r="C134" s="0" cm="1">
        <f ref="C134:C134" t="array">DWS_N*_PO.ESP.Curve.HeadAtSpeed(A134,DWS_F,DWS_Fbase,DWS_CurveQ,DWS_CurveH)</f>
        <v>301.23378913683706</v>
      </c>
      <c r="D134" s="0">
        <f>C134-B134</f>
        <v>-2319.451631124287</v>
      </c>
      <c r="E134" s="0" t="str">
        <f>IF(AND(D134&gt;0,D135&lt;=0),A134+D134/(D134-D135)*(A135-A134),"")</f>
      </c>
    </row>
    <row r="135">
      <c r="A135" s="0">
        <f>DWS_GridTop*50/50</f>
        <v>5500</v>
      </c>
      <c r="B135" s="0" cm="1">
        <f t="array" ref="B135">DWS_Hst+DWS_Kq*A135+PO.ESP.System.Hfric(A135,DWS_FlowID,DWS_FlowL,DWS_SG)</f>
        <v>2674.2394160688286</v>
      </c>
      <c r="C135" s="0" cm="1">
        <f ref="C135:C135" t="array">DWS_N*_PO.ESP.Curve.HeadAtSpeed(A135,DWS_F,DWS_Fbase,DWS_CurveQ,DWS_CurveH)</f>
        <v>0</v>
      </c>
      <c r="D135" s="0">
        <f>C135-B135</f>
        <v>-2674.2394160688286</v>
      </c>
    </row>
    <row r="137">
      <c r="A137" s="0" t="s">
        <v>115</v>
      </c>
    </row>
    <row r="138">
      <c r="A138" s="0" t="s">
        <v>116</v>
      </c>
      <c r="B138" s="0" t="s">
        <v>117</v>
      </c>
      <c r="C138" s="0" t="s">
        <v>118</v>
      </c>
    </row>
    <row r="139">
      <c r="A139" s="0">
        <f>DWS_Fbase*(0.5+0*0.75/45)</f>
        <v>30</v>
      </c>
      <c r="B139" s="0" cm="1">
        <f ref="B139:B139" t="array">DWS_N*_PO.ESP.Curve.HeadAtSpeed(DWS_Qd,A139,DWS_Fbase,DWS_CurveQ,DWS_CurveH)</f>
        <v>0</v>
      </c>
      <c r="C139" s="0" t="str">
        <f>IF(AND(B139&lt;DWS_TDH,B140&gt;=DWS_TDH),A139+(DWS_TDH-B139)/(B140-B139)*(A140-A139),"")</f>
      </c>
    </row>
    <row r="140">
      <c r="A140" s="0">
        <f>DWS_Fbase*(0.5+1*0.75/45)</f>
        <v>31.000000000000004</v>
      </c>
      <c r="B140" s="0" cm="1">
        <f ref="B140:B140" t="array">DWS_N*_PO.ESP.Curve.HeadAtSpeed(DWS_Qd,A140,DWS_Fbase,DWS_CurveQ,DWS_CurveH)</f>
        <v>0</v>
      </c>
      <c r="C140" s="0" t="str">
        <f>IF(AND(B140&lt;DWS_TDH,B141&gt;=DWS_TDH),A140+(DWS_TDH-B140)/(B141-B140)*(A141-A140),"")</f>
      </c>
    </row>
    <row r="141">
      <c r="A141" s="0">
        <f>DWS_Fbase*(0.5+2*0.75/45)</f>
        <v>32</v>
      </c>
      <c r="B141" s="0" cm="1">
        <f ref="B141:B141" t="array">DWS_N*_PO.ESP.Curve.HeadAtSpeed(DWS_Qd,A141,DWS_Fbase,DWS_CurveQ,DWS_CurveH)</f>
        <v>0</v>
      </c>
      <c r="C141" s="0" t="str">
        <f>IF(AND(B141&lt;DWS_TDH,B142&gt;=DWS_TDH),A141+(DWS_TDH-B141)/(B142-B141)*(A142-A141),"")</f>
      </c>
    </row>
    <row r="142">
      <c r="A142" s="0">
        <f>DWS_Fbase*(0.5+3*0.75/45)</f>
        <v>33</v>
      </c>
      <c r="B142" s="0" cm="1">
        <f ref="B142:B142" t="array">DWS_N*_PO.ESP.Curve.HeadAtSpeed(DWS_Qd,A142,DWS_Fbase,DWS_CurveQ,DWS_CurveH)</f>
        <v>89.19404124661992</v>
      </c>
      <c r="C142" s="0" t="str">
        <f>IF(AND(B142&lt;DWS_TDH,B143&gt;=DWS_TDH),A142+(DWS_TDH-B142)/(B143-B142)*(A143-A142),"")</f>
      </c>
    </row>
    <row r="143">
      <c r="A143" s="0">
        <f>DWS_Fbase*(0.5+4*0.75/45)</f>
        <v>34</v>
      </c>
      <c r="B143" s="0" cm="1">
        <f ref="B143:B143" t="array">DWS_N*_PO.ESP.Curve.HeadAtSpeed(DWS_Qd,A143,DWS_Fbase,DWS_CurveQ,DWS_CurveH)</f>
        <v>126.80486541122823</v>
      </c>
      <c r="C143" s="0" t="str">
        <f>IF(AND(B143&lt;DWS_TDH,B144&gt;=DWS_TDH),A143+(DWS_TDH-B143)/(B144-B143)*(A144-A143),"")</f>
      </c>
    </row>
    <row r="144">
      <c r="A144" s="0">
        <f>DWS_Fbase*(0.5+5*0.75/45)</f>
        <v>35</v>
      </c>
      <c r="B144" s="0" cm="1">
        <f ref="B144:B144" t="array">DWS_N*_PO.ESP.Curve.HeadAtSpeed(DWS_Qd,A144,DWS_Fbase,DWS_CurveQ,DWS_CurveH)</f>
        <v>166.0029578225476</v>
      </c>
      <c r="C144" s="0" t="str">
        <f>IF(AND(B144&lt;DWS_TDH,B145&gt;=DWS_TDH),A144+(DWS_TDH-B144)/(B145-B144)*(A145-A144),"")</f>
      </c>
    </row>
    <row r="145">
      <c r="A145" s="0">
        <f>DWS_Fbase*(0.5+6*0.75/45)</f>
        <v>36</v>
      </c>
      <c r="B145" s="0" cm="1">
        <f ref="B145:B145" t="array">DWS_N*_PO.ESP.Curve.HeadAtSpeed(DWS_Qd,A145,DWS_Fbase,DWS_CurveQ,DWS_CurveH)</f>
        <v>206.46</v>
      </c>
      <c r="C145" s="0" t="str">
        <f>IF(AND(B145&lt;DWS_TDH,B146&gt;=DWS_TDH),A145+(DWS_TDH-B145)/(B146-B145)*(A146-A145),"")</f>
      </c>
    </row>
    <row r="146">
      <c r="A146" s="0">
        <f>DWS_Fbase*(0.5+7*0.75/45)</f>
        <v>37</v>
      </c>
      <c r="B146" s="0" cm="1">
        <f ref="B146:B146" t="array">DWS_N*_PO.ESP.Curve.HeadAtSpeed(DWS_Qd,A146,DWS_Fbase,DWS_CurveQ,DWS_CurveH)</f>
        <v>247.92981956193162</v>
      </c>
      <c r="C146" s="0" t="str">
        <f>IF(AND(B146&lt;DWS_TDH,B147&gt;=DWS_TDH),A146+(DWS_TDH-B146)/(B147-B146)*(A147-A146),"")</f>
      </c>
    </row>
    <row r="147">
      <c r="A147" s="0">
        <f>DWS_Fbase*(0.5+8*0.75/45)</f>
        <v>38</v>
      </c>
      <c r="B147" s="0" cm="1">
        <f ref="B147:B147" t="array">DWS_N*_PO.ESP.Curve.HeadAtSpeed(DWS_Qd,A147,DWS_Fbase,DWS_CurveQ,DWS_CurveH)</f>
        <v>290.37385508664056</v>
      </c>
      <c r="C147" s="0" t="str">
        <f>IF(AND(B147&lt;DWS_TDH,B148&gt;=DWS_TDH),A147+(DWS_TDH-B147)/(B148-B147)*(A148-A147),"")</f>
      </c>
    </row>
    <row r="148">
      <c r="A148" s="0">
        <f>DWS_Fbase*(0.5+9*0.75/45)</f>
        <v>39</v>
      </c>
      <c r="B148" s="0" cm="1">
        <f ref="B148:B148" t="array">DWS_N*_PO.ESP.Curve.HeadAtSpeed(DWS_Qd,A148,DWS_Fbase,DWS_CurveQ,DWS_CurveH)</f>
        <v>333.80175995818627</v>
      </c>
      <c r="C148" s="0" t="str">
        <f>IF(AND(B148&lt;DWS_TDH,B149&gt;=DWS_TDH),A148+(DWS_TDH-B148)/(B149-B148)*(A149-A148),"")</f>
      </c>
    </row>
    <row r="149">
      <c r="A149" s="0">
        <f>DWS_Fbase*(0.5+10*0.75/45)</f>
        <v>40</v>
      </c>
      <c r="B149" s="0" cm="1">
        <f ref="B149:B149" t="array">DWS_N*_PO.ESP.Curve.HeadAtSpeed(DWS_Qd,A149,DWS_Fbase,DWS_CurveQ,DWS_CurveH)</f>
        <v>378.2222222222222</v>
      </c>
      <c r="C149" s="0" t="str">
        <f>IF(AND(B149&lt;DWS_TDH,B150&gt;=DWS_TDH),A149+(DWS_TDH-B149)/(B150-B149)*(A150-A149),"")</f>
      </c>
    </row>
    <row r="150">
      <c r="A150" s="0">
        <f>DWS_Fbase*(0.5+11*0.75/45)</f>
        <v>41</v>
      </c>
      <c r="B150" s="0" cm="1">
        <f ref="B150:B150" t="array">DWS_N*_PO.ESP.Curve.HeadAtSpeed(DWS_Qd,A150,DWS_Fbase,DWS_CurveQ,DWS_CurveH)</f>
        <v>423.6482371846389</v>
      </c>
      <c r="C150" s="0" t="str">
        <f>IF(AND(B150&lt;DWS_TDH,B151&gt;=DWS_TDH),A150+(DWS_TDH-B150)/(B151-B150)*(A151-A150),"")</f>
      </c>
    </row>
    <row r="151">
      <c r="A151" s="0">
        <f>DWS_Fbase*(0.5+12*0.75/45)</f>
        <v>42</v>
      </c>
      <c r="B151" s="0" cm="1">
        <f ref="B151:B151" t="array">DWS_N*_PO.ESP.Curve.HeadAtSpeed(DWS_Qd,A151,DWS_Fbase,DWS_CurveQ,DWS_CurveH)</f>
        <v>470.11169106050977</v>
      </c>
      <c r="C151" s="0" t="str">
        <f>IF(AND(B151&lt;DWS_TDH,B152&gt;=DWS_TDH),A151+(DWS_TDH-B151)/(B152-B151)*(A152-A151),"")</f>
      </c>
    </row>
    <row r="152">
      <c r="A152" s="0">
        <f>DWS_Fbase*(0.5+13*0.75/45)</f>
        <v>43</v>
      </c>
      <c r="B152" s="0" cm="1">
        <f ref="B152:B152" t="array">DWS_N*_PO.ESP.Curve.HeadAtSpeed(DWS_Qd,A152,DWS_Fbase,DWS_CurveQ,DWS_CurveH)</f>
        <v>517.6464190182112</v>
      </c>
      <c r="C152" s="0" t="str">
        <f>IF(AND(B152&lt;DWS_TDH,B153&gt;=DWS_TDH),A152+(DWS_TDH-B152)/(B153-B152)*(A153-A152),"")</f>
      </c>
    </row>
    <row r="153">
      <c r="A153" s="0">
        <f>DWS_Fbase*(0.5+14*0.75/45)</f>
        <v>44</v>
      </c>
      <c r="B153" s="0" cm="1">
        <f ref="B153:B153" t="array">DWS_N*_PO.ESP.Curve.HeadAtSpeed(DWS_Qd,A153,DWS_Fbase,DWS_CurveQ,DWS_CurveH)</f>
        <v>566.2831803017218</v>
      </c>
      <c r="C153" s="0" t="str">
        <f>IF(AND(B153&lt;DWS_TDH,B154&gt;=DWS_TDH),A153+(DWS_TDH-B153)/(B154-B153)*(A154-A153),"")</f>
      </c>
    </row>
    <row r="154">
      <c r="A154" s="0">
        <f>DWS_Fbase*(0.5+15*0.75/45)</f>
        <v>45</v>
      </c>
      <c r="B154" s="0" cm="1">
        <f ref="B154:B154" t="array">DWS_N*_PO.ESP.Curve.HeadAtSpeed(DWS_Qd,A154,DWS_Fbase,DWS_CurveQ,DWS_CurveH)</f>
        <v>616.0500000000001</v>
      </c>
      <c r="C154" s="0" t="str">
        <f>IF(AND(B154&lt;DWS_TDH,B155&gt;=DWS_TDH),A154+(DWS_TDH-B154)/(B155-B154)*(A155-A154),"")</f>
      </c>
    </row>
    <row r="155">
      <c r="A155" s="0">
        <f>DWS_Fbase*(0.5+16*0.75/45)</f>
        <v>46</v>
      </c>
      <c r="B155" s="0" cm="1">
        <f ref="B155:B155" t="array">DWS_N*_PO.ESP.Curve.HeadAtSpeed(DWS_Qd,A155,DWS_Fbase,DWS_CurveQ,DWS_CurveH)</f>
        <v>666.9632252370773</v>
      </c>
      <c r="C155" s="0" t="str">
        <f>IF(AND(B155&lt;DWS_TDH,B156&gt;=DWS_TDH),A155+(DWS_TDH-B155)/(B156-B155)*(A156-A155),"")</f>
      </c>
    </row>
    <row r="156">
      <c r="A156" s="0">
        <f>DWS_Fbase*(0.5+17*0.75/45)</f>
        <v>47</v>
      </c>
      <c r="B156" s="0" cm="1">
        <f ref="B156:B156" t="array">DWS_N*_PO.ESP.Curve.HeadAtSpeed(DWS_Qd,A156,DWS_Fbase,DWS_CurveQ,DWS_CurveH)</f>
        <v>719.0016343578513</v>
      </c>
      <c r="C156" s="0" t="str">
        <f>IF(AND(B156&lt;DWS_TDH,B157&gt;=DWS_TDH),A156+(DWS_TDH-B156)/(B157-B156)*(A157-A156),"")</f>
      </c>
    </row>
    <row r="157">
      <c r="A157" s="0">
        <f>DWS_Fbase*(0.5+18*0.75/45)</f>
        <v>48</v>
      </c>
      <c r="B157" s="0" cm="1">
        <f ref="B157:B157" t="array">DWS_N*_PO.ESP.Curve.HeadAtSpeed(DWS_Qd,A157,DWS_Fbase,DWS_CurveQ,DWS_CurveH)</f>
        <v>772.136918219504</v>
      </c>
      <c r="C157" s="0" t="str">
        <f>IF(AND(B157&lt;DWS_TDH,B158&gt;=DWS_TDH),A157+(DWS_TDH-B157)/(B158-B157)*(A158-A157),"")</f>
      </c>
    </row>
    <row r="158">
      <c r="A158" s="0">
        <f>DWS_Fbase*(0.5+19*0.75/45)</f>
        <v>49</v>
      </c>
      <c r="B158" s="0" cm="1">
        <f ref="B158:B158" t="array">DWS_N*_PO.ESP.Curve.HeadAtSpeed(DWS_Qd,A158,DWS_Fbase,DWS_CurveQ,DWS_CurveH)</f>
        <v>826.3430786296504</v>
      </c>
      <c r="C158" s="0" t="str">
        <f>IF(AND(B158&lt;DWS_TDH,B159&gt;=DWS_TDH),A158+(DWS_TDH-B158)/(B159-B158)*(A159-A158),"")</f>
      </c>
    </row>
    <row r="159">
      <c r="A159" s="0">
        <f>DWS_Fbase*(0.5+20*0.75/45)</f>
        <v>49.99999999999999</v>
      </c>
      <c r="B159" s="0" cm="1">
        <f ref="B159:B159" t="array">DWS_N*_PO.ESP.Curve.HeadAtSpeed(DWS_Qd,A159,DWS_Fbase,DWS_CurveQ,DWS_CurveH)</f>
        <v>881.5961972512972</v>
      </c>
      <c r="C159" s="0" t="str">
        <f>IF(AND(B159&lt;DWS_TDH,B160&gt;=DWS_TDH),A159+(DWS_TDH-B159)/(B160-B159)*(A160-A159),"")</f>
      </c>
    </row>
    <row r="160">
      <c r="A160" s="0">
        <f>DWS_Fbase*(0.5+21*0.75/45)</f>
        <v>51</v>
      </c>
      <c r="B160" s="0" cm="1">
        <f ref="B160:B160" t="array">DWS_N*_PO.ESP.Curve.HeadAtSpeed(DWS_Qd,A160,DWS_Fbase,DWS_CurveQ,DWS_CurveH)</f>
        <v>937.874231695451</v>
      </c>
      <c r="C160" s="0" t="str">
        <f>IF(AND(B160&lt;DWS_TDH,B161&gt;=DWS_TDH),A160+(DWS_TDH-B160)/(B161-B160)*(A161-A160),"")</f>
      </c>
    </row>
    <row r="161">
      <c r="A161" s="0">
        <f>DWS_Fbase*(0.5+22*0.75/45)</f>
        <v>52</v>
      </c>
      <c r="B161" s="0" cm="1">
        <f ref="B161:B161" t="array">DWS_N*_PO.ESP.Curve.HeadAtSpeed(DWS_Qd,A161,DWS_Fbase,DWS_CurveQ,DWS_CurveH)</f>
        <v>995.1580357711225</v>
      </c>
      <c r="C161" s="0" t="str">
        <f>IF(AND(B161&lt;DWS_TDH,B162&gt;=DWS_TDH),A161+(DWS_TDH-B161)/(B162-B161)*(A162-A161),"")</f>
      </c>
    </row>
    <row r="162">
      <c r="A162" s="0">
        <f>DWS_Fbase*(0.5+23*0.75/45)</f>
        <v>53</v>
      </c>
      <c r="B162" s="0" cm="1">
        <f ref="B162:B162" t="array">DWS_N*_PO.ESP.Curve.HeadAtSpeed(DWS_Qd,A162,DWS_Fbase,DWS_CurveQ,DWS_CurveH)</f>
        <v>1053.44969460239</v>
      </c>
      <c r="C162" s="0" t="str">
        <f>IF(AND(B162&lt;DWS_TDH,B163&gt;=DWS_TDH),A162+(DWS_TDH-B162)/(B163-B162)*(A163-A162),"")</f>
      </c>
    </row>
    <row r="163">
      <c r="A163" s="0">
        <f>DWS_Fbase*(0.5+24*0.75/45)</f>
        <v>54</v>
      </c>
      <c r="B163" s="0" cm="1">
        <f ref="B163:B163" t="array">DWS_N*_PO.ESP.Curve.HeadAtSpeed(DWS_Qd,A163,DWS_Fbase,DWS_CurveQ,DWS_CurveH)</f>
        <v>1112.7672528655846</v>
      </c>
      <c r="C163" s="0" t="str">
        <f>IF(AND(B163&lt;DWS_TDH,B164&gt;=DWS_TDH),A163+(DWS_TDH-B163)/(B164-B163)*(A164-A163),"")</f>
      </c>
    </row>
    <row r="164">
      <c r="A164" s="0">
        <f>DWS_Fbase*(0.5+25*0.75/45)</f>
        <v>55.00000000000001</v>
      </c>
      <c r="B164" s="0" cm="1">
        <f ref="B164:B164" t="array">DWS_N*_PO.ESP.Curve.HeadAtSpeed(DWS_Qd,A164,DWS_Fbase,DWS_CurveQ,DWS_CurveH)</f>
        <v>1173.127921784435</v>
      </c>
      <c r="C164" s="0" t="str">
        <f>IF(AND(B164&lt;DWS_TDH,B165&gt;=DWS_TDH),A164+(DWS_TDH-B164)/(B165-B164)*(A165-A164),"")</f>
      </c>
    </row>
    <row r="165">
      <c r="A165" s="0">
        <f>DWS_Fbase*(0.5+26*0.75/45)</f>
        <v>56</v>
      </c>
      <c r="B165" s="0" cm="1">
        <f ref="B165:B165" t="array">DWS_N*_PO.ESP.Curve.HeadAtSpeed(DWS_Qd,A165,DWS_Fbase,DWS_CurveQ,DWS_CurveH)</f>
        <v>1234.5476832095478</v>
      </c>
      <c r="C165" s="0" t="str">
        <f>IF(AND(B165&lt;DWS_TDH,B166&gt;=DWS_TDH),A165+(DWS_TDH-B165)/(B166-B165)*(A166-A165),"")</f>
      </c>
    </row>
    <row r="166">
      <c r="A166" s="0">
        <f>DWS_Fbase*(0.5+27*0.75/45)</f>
        <v>57</v>
      </c>
      <c r="B166" s="0" cm="1">
        <f ref="B166:B166" t="array">DWS_N*_PO.ESP.Curve.HeadAtSpeed(DWS_Qd,A166,DWS_Fbase,DWS_CurveQ,DWS_CurveH)</f>
        <v>1297.0413974581536</v>
      </c>
      <c r="C166" s="0" t="str">
        <f>IF(AND(B166&lt;DWS_TDH,B167&gt;=DWS_TDH),A166+(DWS_TDH-B166)/(B167-B166)*(A167-A166),"")</f>
      </c>
    </row>
    <row r="167">
      <c r="A167" s="0">
        <f>DWS_Fbase*(0.5+28*0.75/45)</f>
        <v>58</v>
      </c>
      <c r="B167" s="0" cm="1">
        <f ref="B167:B167" t="array">DWS_N*_PO.ESP.Curve.HeadAtSpeed(DWS_Qd,A167,DWS_Fbase,DWS_CurveQ,DWS_CurveH)</f>
        <v>1360.6228999980178</v>
      </c>
      <c r="C167" s="0" t="str">
        <f>IF(AND(B167&lt;DWS_TDH,B168&gt;=DWS_TDH),A167+(DWS_TDH-B167)/(B168-B167)*(A168-A167),"")</f>
      </c>
    </row>
    <row r="168">
      <c r="A168" s="0">
        <f>DWS_Fbase*(0.5+29*0.75/45)</f>
        <v>59</v>
      </c>
      <c r="B168" s="0" cm="1">
        <f ref="B168:B168" t="array">DWS_N*_PO.ESP.Curve.HeadAtSpeed(DWS_Qd,A168,DWS_Fbase,DWS_CurveQ,DWS_CurveH)</f>
        <v>1425.305088299093</v>
      </c>
      <c r="C168" s="0">
        <f>IF(AND(B168&lt;DWS_TDH,B169&gt;=DWS_TDH),A168+(DWS_TDH-B168)/(B169-B168)*(A169-A168),"")</f>
        <v>59.49134083372292</v>
      </c>
    </row>
    <row r="169">
      <c r="A169" s="0">
        <f>DWS_Fbase*(0.5+30*0.75/45)</f>
        <v>60</v>
      </c>
      <c r="B169" s="0" cm="1">
        <f ref="B169:B169" t="array">DWS_N*_PO.ESP.Curve.HeadAtSpeed(DWS_Qd,A169,DWS_Fbase,DWS_CurveQ,DWS_CurveH)</f>
        <v>1491.1</v>
      </c>
      <c r="C169" s="0" t="str">
        <f>IF(AND(B169&lt;DWS_TDH,B170&gt;=DWS_TDH),A169+(DWS_TDH-B169)/(B170-B169)*(A170-A169),"")</f>
      </c>
    </row>
    <row r="170">
      <c r="A170" s="0">
        <f>DWS_Fbase*(0.5+31*0.75/45)</f>
        <v>61</v>
      </c>
      <c r="B170" s="0" cm="1">
        <f ref="B170:B170" t="array">DWS_N*_PO.ESP.Curve.HeadAtSpeed(DWS_Qd,A170,DWS_Fbase,DWS_CurveQ,DWS_CurveH)</f>
        <v>1558.0152848806838</v>
      </c>
      <c r="C170" s="0" t="str">
        <f>IF(AND(B170&lt;DWS_TDH,B171&gt;=DWS_TDH),A170+(DWS_TDH-B170)/(B171-B170)*(A171-A170),"")</f>
      </c>
    </row>
    <row r="171">
      <c r="A171" s="0">
        <f>DWS_Fbase*(0.5+32*0.75/45)</f>
        <v>61.99999999999999</v>
      </c>
      <c r="B171" s="0" cm="1">
        <f ref="B171:B171" t="array">DWS_N*_PO.ESP.Curve.HeadAtSpeed(DWS_Qd,A171,DWS_Fbase,DWS_CurveQ,DWS_CurveH)</f>
        <v>1626.0439373272397</v>
      </c>
      <c r="C171" s="0" t="str">
        <f>IF(AND(B171&lt;DWS_TDH,B172&gt;=DWS_TDH),A171+(DWS_TDH-B171)/(B172-B171)*(A172-A171),"")</f>
      </c>
    </row>
    <row r="172">
      <c r="A172" s="0">
        <f>DWS_Fbase*(0.5+33*0.75/45)</f>
        <v>63</v>
      </c>
      <c r="B172" s="0" cm="1">
        <f ref="B172:B172" t="array">DWS_N*_PO.ESP.Curve.HeadAtSpeed(DWS_Qd,A172,DWS_Fbase,DWS_CurveQ,DWS_CurveH)</f>
        <v>1695.1759122595863</v>
      </c>
      <c r="C172" s="0" t="str">
        <f>IF(AND(B172&lt;DWS_TDH,B173&gt;=DWS_TDH),A172+(DWS_TDH-B172)/(B173-B172)*(A173-A172),"")</f>
      </c>
    </row>
    <row r="173">
      <c r="A173" s="0">
        <f>DWS_Fbase*(0.5+34*0.75/45)</f>
        <v>64</v>
      </c>
      <c r="B173" s="0" cm="1">
        <f ref="B173:B173" t="array">DWS_N*_PO.ESP.Curve.HeadAtSpeed(DWS_Qd,A173,DWS_Fbase,DWS_CurveQ,DWS_CurveH)</f>
        <v>1765.401792415146</v>
      </c>
      <c r="C173" s="0" t="str">
        <f>IF(AND(B173&lt;DWS_TDH,B174&gt;=DWS_TDH),A173+(DWS_TDH-B173)/(B174-B173)*(A174-A173),"")</f>
      </c>
    </row>
    <row r="174">
      <c r="A174" s="0">
        <f>DWS_Fbase*(0.5+35*0.75/45)</f>
        <v>65.00000000000001</v>
      </c>
      <c r="B174" s="0" cm="1">
        <f ref="B174:B174" t="array">DWS_N*_PO.ESP.Curve.HeadAtSpeed(DWS_Qd,A174,DWS_Fbase,DWS_CurveQ,DWS_CurveH)</f>
        <v>1836.7127400551938</v>
      </c>
      <c r="C174" s="0" t="str">
        <f>IF(AND(B174&lt;DWS_TDH,B175&gt;=DWS_TDH),A174+(DWS_TDH-B174)/(B175-B174)*(A175-A174),"")</f>
      </c>
    </row>
    <row r="175">
      <c r="A175" s="0">
        <f>DWS_Fbase*(0.5+36*0.75/45)</f>
        <v>66</v>
      </c>
      <c r="B175" s="0" cm="1">
        <f ref="B175:B175" t="array">DWS_N*_PO.ESP.Curve.HeadAtSpeed(DWS_Qd,A175,DWS_Fbase,DWS_CurveQ,DWS_CurveH)</f>
        <v>1909.1004530615307</v>
      </c>
      <c r="C175" s="0" t="str">
        <f>IF(AND(B175&lt;DWS_TDH,B176&gt;=DWS_TDH),A175+(DWS_TDH-B175)/(B176-B175)*(A176-A175),"")</f>
      </c>
    </row>
    <row r="176">
      <c r="A176" s="0">
        <f>DWS_Fbase*(0.5+37*0.75/45)</f>
        <v>67</v>
      </c>
      <c r="B176" s="0" cm="1">
        <f ref="B176:B176" t="array">DWS_N*_PO.ESP.Curve.HeadAtSpeed(DWS_Qd,A176,DWS_Fbase,DWS_CurveQ,DWS_CurveH)</f>
        <v>1982.557124964809</v>
      </c>
      <c r="C176" s="0" t="str">
        <f>IF(AND(B176&lt;DWS_TDH,B177&gt;=DWS_TDH),A176+(DWS_TDH-B176)/(B177-B176)*(A177-A176),"")</f>
      </c>
    </row>
    <row r="177">
      <c r="A177" s="0">
        <f>DWS_Fbase*(0.5+38*0.75/45)</f>
        <v>68</v>
      </c>
      <c r="B177" s="0" cm="1">
        <f ref="B177:B177" t="array">DWS_N*_PO.ESP.Curve.HeadAtSpeed(DWS_Qd,A177,DWS_Fbase,DWS_CurveQ,DWS_CurveH)</f>
        <v>2057.0754084997584</v>
      </c>
      <c r="C177" s="0" t="str">
        <f>IF(AND(B177&lt;DWS_TDH,B178&gt;=DWS_TDH),A177+(DWS_TDH-B177)/(B178-B177)*(A178-A177),"")</f>
      </c>
    </row>
    <row r="178">
      <c r="A178" s="0">
        <f>DWS_Fbase*(0.5+39*0.75/45)</f>
        <v>69</v>
      </c>
      <c r="B178" s="0" cm="1">
        <f ref="B178:B178" t="array">DWS_N*_PO.ESP.Curve.HeadAtSpeed(DWS_Qd,A178,DWS_Fbase,DWS_CurveQ,DWS_CurveH)</f>
        <v>2132.64838232953</v>
      </c>
      <c r="C178" s="0" t="str">
        <f>IF(AND(B178&lt;DWS_TDH,B179&gt;=DWS_TDH),A178+(DWS_TDH-B178)/(B179-B178)*(A179-A178),"")</f>
      </c>
    </row>
    <row r="179">
      <c r="A179" s="0">
        <f>DWS_Fbase*(0.5+40*0.75/45)</f>
        <v>69.99999999999999</v>
      </c>
      <c r="B179" s="0" cm="1">
        <f ref="B179:B179" t="array">DWS_N*_PO.ESP.Curve.HeadAtSpeed(DWS_Qd,A179,DWS_Fbase,DWS_CurveQ,DWS_CurveH)</f>
        <v>2209.2695206222375</v>
      </c>
      <c r="C179" s="0" t="str">
        <f>IF(AND(B179&lt;DWS_TDH,B180&gt;=DWS_TDH),A179+(DWS_TDH-B179)/(B180-B179)*(A180-A179),"")</f>
      </c>
    </row>
    <row r="180">
      <c r="A180" s="0">
        <f>DWS_Fbase*(0.5+41*0.75/45)</f>
        <v>71</v>
      </c>
      <c r="B180" s="0" cm="1">
        <f ref="B180:B180" t="array">DWS_N*_PO.ESP.Curve.HeadAtSpeed(DWS_Qd,A180,DWS_Fbase,DWS_CurveQ,DWS_CurveH)</f>
        <v>2286.9326651984975</v>
      </c>
      <c r="C180" s="0" t="str">
        <f>IF(AND(B180&lt;DWS_TDH,B181&gt;=DWS_TDH),A180+(DWS_TDH-B180)/(B181-B180)*(A181-A180),"")</f>
      </c>
    </row>
    <row r="181">
      <c r="A181" s="0">
        <f>DWS_Fbase*(0.5+42*0.75/45)</f>
        <v>72</v>
      </c>
      <c r="B181" s="0" cm="1">
        <f ref="B181:B181" t="array">DWS_N*_PO.ESP.Curve.HeadAtSpeed(DWS_Qd,A181,DWS_Fbase,DWS_CurveQ,DWS_CurveH)</f>
        <v>2365.6319999999996</v>
      </c>
      <c r="C181" s="0" t="str">
        <f>IF(AND(B181&lt;DWS_TDH,B182&gt;=DWS_TDH),A181+(DWS_TDH-B181)/(B182-B181)*(A182-A181),"")</f>
      </c>
    </row>
    <row r="182">
      <c r="A182" s="0">
        <f>DWS_Fbase*(0.5+43*0.75/45)</f>
        <v>73</v>
      </c>
      <c r="B182" s="0" cm="1">
        <f ref="B182:B182" t="array">DWS_N*_PO.ESP.Curve.HeadAtSpeed(DWS_Qd,A182,DWS_Fbase,DWS_CurveQ,DWS_CurveH)</f>
        <v>2445.363798052305</v>
      </c>
      <c r="C182" s="0" t="str">
        <f>IF(AND(B182&lt;DWS_TDH,B183&gt;=DWS_TDH),A182+(DWS_TDH-B182)/(B183-B182)*(A183-A182),"")</f>
      </c>
    </row>
    <row r="183">
      <c r="A183" s="0">
        <f>DWS_Fbase*(0.5+44*0.75/45)</f>
        <v>74</v>
      </c>
      <c r="B183" s="0" cm="1">
        <f ref="B183:B183" t="array">DWS_N*_PO.ESP.Curve.HeadAtSpeed(DWS_Qd,A183,DWS_Fbase,DWS_CurveQ,DWS_CurveH)</f>
        <v>2526.1315197249533</v>
      </c>
      <c r="C183" s="0" t="str">
        <f>IF(AND(B183&lt;DWS_TDH,B184&gt;=DWS_TDH),A183+(DWS_TDH-B183)/(B184-B183)*(A184-A183),"")</f>
      </c>
    </row>
    <row r="184">
      <c r="A184" s="0">
        <f>DWS_Fbase*(0.5+45*0.75/45)</f>
        <v>75</v>
      </c>
      <c r="B184" s="0" cm="1">
        <f ref="B184:B184" t="array">DWS_N*_PO.ESP.Curve.HeadAtSpeed(DWS_Qd,A184,DWS_Fbase,DWS_CurveQ,DWS_CurveH)</f>
        <v>2607.9401640196274</v>
      </c>
    </row>
    <row r="186">
      <c r="A186" s="0" t="s">
        <v>119</v>
      </c>
    </row>
    <row r="187">
      <c r="A187" s="0" t="s">
        <v>22</v>
      </c>
      <c r="B187" s="0" t="s">
        <v>120</v>
      </c>
      <c r="C187" s="0" t="s">
        <v>25</v>
      </c>
    </row>
    <row r="188">
      <c r="A188" s="0" cm="1">
        <f ref="A188:A188" t="array">_PO.ESP.Affinity.Rate(E6,DWS_F,DWS_Fbase)</f>
        <v>0</v>
      </c>
      <c r="B188" s="0" cm="1">
        <f ref="B188:B188" t="array">DWS_N*_PO.ESP.Affinity.Head(F6,DWS_F,DWS_Fbase)</f>
        <v>1891.516271163783</v>
      </c>
      <c r="C188" s="0">
        <f>H6</f>
        <v>0</v>
      </c>
    </row>
    <row r="189">
      <c r="A189" s="0" cm="1">
        <f ref="A189:A189" t="array">_PO.ESP.Affinity.Rate(E7,DWS_F,DWS_Fbase)</f>
        <v>495.7611736143577</v>
      </c>
      <c r="B189" s="0" cm="1">
        <f ref="B189:B189" t="array">DWS_N*_PO.ESP.Affinity.Head(F7,DWS_F,DWS_Fbase)</f>
        <v>1898.791333745182</v>
      </c>
      <c r="C189" s="0">
        <f>H7</f>
        <v>0.20721828459845096</v>
      </c>
    </row>
    <row r="190">
      <c r="A190" s="0" cm="1">
        <f ref="A190:A190" t="array">_PO.ESP.Affinity.Rate(E8,DWS_F,DWS_Fbase)</f>
        <v>991.5223472287154</v>
      </c>
      <c r="B190" s="0" cm="1">
        <f ref="B190:B190" t="array">DWS_N*_PO.ESP.Affinity.Head(F8,DWS_F,DWS_Fbase)</f>
        <v>1873.328614710285</v>
      </c>
      <c r="C190" s="0">
        <f>H8</f>
        <v>0.37667416489618843</v>
      </c>
    </row>
    <row r="191">
      <c r="A191" s="0" cm="1">
        <f ref="A191:A191" t="array">_PO.ESP.Affinity.Rate(E9,DWS_F,DWS_Fbase)</f>
        <v>1487.2835208430731</v>
      </c>
      <c r="B191" s="0" cm="1">
        <f ref="B191:B191" t="array">DWS_N*_PO.ESP.Affinity.Head(F9,DWS_F,DWS_Fbase)</f>
        <v>1818.7656453497912</v>
      </c>
      <c r="C191" s="0">
        <f>H9</f>
        <v>0.5089734254387932</v>
      </c>
    </row>
    <row r="192">
      <c r="A192" s="0" cm="1">
        <f ref="A192:A192" t="array">_PO.ESP.Affinity.Rate(E10,DWS_F,DWS_Fbase)</f>
        <v>1983.0446944574308</v>
      </c>
      <c r="B192" s="0" cm="1">
        <f ref="B192:B192" t="array">DWS_N*_PO.ESP.Affinity.Head(F10,DWS_F,DWS_Fbase)</f>
        <v>1731.4648943730012</v>
      </c>
      <c r="C192" s="0">
        <f>H10</f>
        <v>0.6025776931839716</v>
      </c>
    </row>
    <row r="193">
      <c r="A193" s="0" cm="1">
        <f ref="A193:A193" t="array">_PO.ESP.Affinity.Rate(E11,DWS_F,DWS_Fbase)</f>
        <v>2478.8058680717886</v>
      </c>
      <c r="B193" s="0" cm="1">
        <f ref="B193:B193" t="array">DWS_N*_PO.ESP.Affinity.Head(F11,DWS_F,DWS_Fbase)</f>
        <v>1615.0638930706145</v>
      </c>
      <c r="C193" s="0">
        <f>H11</f>
        <v>0.6598836336231899</v>
      </c>
    </row>
    <row r="194">
      <c r="A194" s="0" cm="1">
        <f ref="A194:A194" t="array">_PO.ESP.Affinity.Rate(E12,DWS_F,DWS_Fbase)</f>
        <v>2974.5670416861462</v>
      </c>
      <c r="B194" s="0" cm="1">
        <f ref="B194:B194" t="array">DWS_N*_PO.ESP.Affinity.Head(F12,DWS_F,DWS_Fbase)</f>
        <v>1465.9251101519317</v>
      </c>
      <c r="C194" s="0">
        <f>H12</f>
        <v>0.6780755656832786</v>
      </c>
    </row>
    <row r="195">
      <c r="A195" s="0" cm="1">
        <f ref="A195:A195" t="array">_PO.ESP.Affinity.Rate(E13,DWS_F,DWS_Fbase)</f>
        <v>3470.328215300504</v>
      </c>
      <c r="B195" s="0" cm="1">
        <f ref="B195:B195" t="array">DWS_N*_PO.ESP.Affinity.Head(F13,DWS_F,DWS_Fbase)</f>
        <v>1287.686076907652</v>
      </c>
      <c r="C195" s="0">
        <f>H13</f>
        <v>0.6596014882653861</v>
      </c>
    </row>
    <row r="196">
      <c r="A196" s="0" cm="1">
        <f ref="A196:A196" t="array">_PO.ESP.Affinity.Rate(E14,DWS_F,DWS_Fbase)</f>
        <v>3966.0893889148615</v>
      </c>
      <c r="B196" s="0" cm="1">
        <f ref="B196:B196" t="array">DWS_N*_PO.ESP.Affinity.Head(F14,DWS_F,DWS_Fbase)</f>
        <v>1076.7092620470764</v>
      </c>
      <c r="C196" s="0">
        <f>H14</f>
        <v>0.6027639353345483</v>
      </c>
    </row>
    <row r="197">
      <c r="A197" s="0" cm="1">
        <f ref="A197:A197" t="array">_PO.ESP.Affinity.Rate(E15,DWS_F,DWS_Fbase)</f>
        <v>4461.850562529219</v>
      </c>
      <c r="B197" s="0" cm="1">
        <f ref="B197:B197" t="array">DWS_N*_PO.ESP.Affinity.Head(F15,DWS_F,DWS_Fbase)</f>
        <v>836.632196860904</v>
      </c>
      <c r="C197" s="0">
        <f>H15</f>
        <v>0.5092396892026041</v>
      </c>
    </row>
    <row r="198">
      <c r="A198" s="0" cm="1">
        <f ref="A198:A198" t="array">_PO.ESP.Affinity.Rate(E16,DWS_F,DWS_Fbase)</f>
        <v>4957.611736143577</v>
      </c>
      <c r="B198" s="0" cm="1">
        <f ref="B198:B198" t="array">DWS_N*_PO.ESP.Affinity.Head(F16,DWS_F,DWS_Fbase)</f>
        <v>563.8173500584353</v>
      </c>
      <c r="C198" s="0">
        <f>H16</f>
        <v>0.37676625712125905</v>
      </c>
    </row>
    <row r="199">
      <c r="A199" s="0" cm="1">
        <f ref="A199:A199" t="array">_PO.ESP.Affinity.Rate(E17,DWS_F,DWS_Fbase)</f>
        <v>5453.372909757934</v>
      </c>
      <c r="B199" s="0" cm="1">
        <f ref="B199:B199" t="array">DWS_N*_PO.ESP.Affinity.Head(F17,DWS_F,DWS_Fbase)</f>
        <v>261.90225293036997</v>
      </c>
      <c r="C199" s="0">
        <f>H17</f>
        <v>0.20794970944226848</v>
      </c>
    </row>
    <row r="201">
      <c r="A201" s="0" t="s">
        <v>121</v>
      </c>
    </row>
    <row r="202">
      <c r="A202" s="0" t="s">
        <v>122</v>
      </c>
      <c r="B202" s="0" t="s">
        <v>22</v>
      </c>
      <c r="C202" s="0" t="s">
        <v>120</v>
      </c>
    </row>
    <row r="203">
      <c r="A203" s="0" t="s">
        <v>123</v>
      </c>
      <c r="B203" s="0">
        <f>DWS_Qop</f>
        <v>2999.672825511469</v>
      </c>
      <c r="C203" s="0">
        <f>DWS_TDHop</f>
        <v>1457.473672652345</v>
      </c>
    </row>
    <row r="204">
      <c r="A204" s="0" t="s">
        <v>124</v>
      </c>
      <c r="B204" s="0">
        <f>DWS_QBEP*DWS_F/DWS_Fbase</f>
        <v>2972.0882358180743</v>
      </c>
      <c r="C204" s="0" cm="1">
        <f ref="C204:C204" t="array">DWS_N*_PO.ESP.Curve.HeadAtSpeed(B204,DWS_F,DWS_Fbase,DWS_CurveQ,DWS_CurveH)</f>
        <v>1466.743321791513</v>
      </c>
    </row>
    <row r="205">
      <c r="A205" s="0" t="s">
        <v>125</v>
      </c>
      <c r="B205" s="0">
        <f>DWS_Qmin*DWS_F/DWS_Fbase</f>
        <v>2181.3491639031736</v>
      </c>
      <c r="C205" s="0">
        <v>0</v>
      </c>
    </row>
    <row r="206">
      <c r="A206" s="0" t="s">
        <v>126</v>
      </c>
      <c r="B206" s="0">
        <f>B205</f>
        <v>2181.3491639031736</v>
      </c>
      <c r="C206" s="0" cm="1">
        <f ref="C206:C206" t="array">DWS_N*_PO.ESP.Curve.HeadAtSpeed(B206,DWS_F,DWS_Fbase,DWS_CurveQ,DWS_CurveH)</f>
        <v>1688.5641715587217</v>
      </c>
    </row>
    <row r="207">
      <c r="A207" s="0" t="s">
        <v>127</v>
      </c>
      <c r="B207" s="0">
        <f>DWS_Qmax*DWS_F/DWS_Fbase</f>
        <v>3767.7849194691184</v>
      </c>
      <c r="C207" s="0">
        <v>0</v>
      </c>
    </row>
    <row r="208">
      <c r="A208" s="0" t="s">
        <v>128</v>
      </c>
      <c r="B208" s="0">
        <f>B207</f>
        <v>3767.7849194691184</v>
      </c>
      <c r="C208" s="0" cm="1">
        <f ref="C208:C208" t="array">DWS_N*_PO.ESP.Curve.HeadAtSpeed(B208,DWS_F,DWS_Fbase,DWS_CurveQ,DWS_CurveH)</f>
        <v>1164.801003462093</v>
      </c>
    </row>
  </sheetData>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Company>https://petroleumoffice.com</Company>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Inverted ESP Sizing for a Downhole Water Sink</dc:title>
  <dc:subject>Sizes an ESP that runs inverted in a downhole water sink or downhole water loop: water drained below the oil–water contact is pumped down through a packer and re-injected into the base of the same aquifer. Nothing is lifted to surface, so the system curve is drainage drawdown plus injection build-up plus friction. Design by rate, or by the sink wanted at the drainage perforations (rate = PI × sink). Returns the TDH split into sink head, injection head, static head and friction, the stage count, the drive frequency that delivers the design rate, the operating point, efficiency, brake horsepower, the sink it makes, motor loading and cooling, and the packer and shaft-thrust checks, with a performance chart.</dc:subject>
  <cp:category>Electric Submersible Pump</cp:category>
  <cp:keywords>EPPlus noncommercial use</cp:keywords>
  <dc:creator>PetroleumOffice</dc:creator>
  <dc:description>This workbook has been created with EPPlus licensed to PetroleumOffice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